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9180" windowHeight="3540" activeTab="3"/>
  </bookViews>
  <sheets>
    <sheet name="BS" sheetId="1" r:id="rId1"/>
    <sheet name="PL" sheetId="2" r:id="rId2"/>
    <sheet name="CF(Amended)" sheetId="3" r:id="rId3"/>
    <sheet name="Note" sheetId="4" r:id="rId4"/>
  </sheets>
  <externalReferences>
    <externalReference r:id="rId7"/>
    <externalReference r:id="rId8"/>
    <externalReference r:id="rId9"/>
    <externalReference r:id="rId10"/>
  </externalReferences>
  <definedNames/>
  <calcPr fullCalcOnLoad="1"/>
</workbook>
</file>

<file path=xl/sharedStrings.xml><?xml version="1.0" encoding="utf-8"?>
<sst xmlns="http://schemas.openxmlformats.org/spreadsheetml/2006/main" count="340" uniqueCount="267">
  <si>
    <t>MYCOM BERHAD</t>
  </si>
  <si>
    <t>(Company No. 7296 V)</t>
  </si>
  <si>
    <t>(Incorporated in Malaysia)</t>
  </si>
  <si>
    <t>INTERIM REPORT FOR THE YEAR ENDED 30 JUNE 2003</t>
  </si>
  <si>
    <t>Unaudited Condensed Consolidated Balance Sheet as at 30 June 2003</t>
  </si>
  <si>
    <t>As at 30 JUN 03</t>
  </si>
  <si>
    <t>As at 30 JUN 02</t>
  </si>
  <si>
    <t>RM'000</t>
  </si>
  <si>
    <t>(Unaudited)</t>
  </si>
  <si>
    <t>(Audited)</t>
  </si>
  <si>
    <t>NON-CURRENT ASSETS</t>
  </si>
  <si>
    <t>Property, plant and equipment</t>
  </si>
  <si>
    <t>Investments</t>
  </si>
  <si>
    <t>Real property assets</t>
  </si>
  <si>
    <t>CURRENT ASSETS</t>
  </si>
  <si>
    <t>Development properties</t>
  </si>
  <si>
    <t>Inventories</t>
  </si>
  <si>
    <t>Receivables</t>
  </si>
  <si>
    <t>Short term investments</t>
  </si>
  <si>
    <t>Cash and bank balances</t>
  </si>
  <si>
    <t>CURRENT LIABILITIES</t>
  </si>
  <si>
    <t>Provision for liabilities</t>
  </si>
  <si>
    <t>Due to an associated company</t>
  </si>
  <si>
    <t>Due to affiliated companies, net</t>
  </si>
  <si>
    <t>Payables</t>
  </si>
  <si>
    <t>Taxation</t>
  </si>
  <si>
    <t>NET CURRENT LIABILITIES</t>
  </si>
  <si>
    <t>REPRESENTED BY</t>
  </si>
  <si>
    <t>Share capital</t>
  </si>
  <si>
    <t>Reserves</t>
  </si>
  <si>
    <t>Accumulated losses</t>
  </si>
  <si>
    <t>Shareholders' deficits</t>
  </si>
  <si>
    <t>Minority interests</t>
  </si>
  <si>
    <t>Hire purchase and lease payables</t>
  </si>
  <si>
    <t>Deferred taxation</t>
  </si>
  <si>
    <t>Non-current liabilities</t>
  </si>
  <si>
    <t>Unaudited Condensed Consolidated Income Statements for the year ended 30 June 2003</t>
  </si>
  <si>
    <t>INDIVIDUAL QUARTER</t>
  </si>
  <si>
    <t>CUMULATIVE QUARTER</t>
  </si>
  <si>
    <t>Preceeding year</t>
  </si>
  <si>
    <t>Current</t>
  </si>
  <si>
    <t>corresponding</t>
  </si>
  <si>
    <t>Current financial</t>
  </si>
  <si>
    <t>quarter</t>
  </si>
  <si>
    <t>year to date</t>
  </si>
  <si>
    <t>period</t>
  </si>
  <si>
    <t>30 JUN 03</t>
  </si>
  <si>
    <t>30 JUN 02</t>
  </si>
  <si>
    <t>Total</t>
  </si>
  <si>
    <t>Revenue</t>
  </si>
  <si>
    <t>Operating expenses</t>
  </si>
  <si>
    <t>Other operating income</t>
  </si>
  <si>
    <t>Finance costs, net</t>
  </si>
  <si>
    <t>Investing results</t>
  </si>
  <si>
    <t>Loss before taxation</t>
  </si>
  <si>
    <t>Loss after taxation</t>
  </si>
  <si>
    <t xml:space="preserve">Net loss for the period </t>
  </si>
  <si>
    <t>Earnings per share</t>
  </si>
  <si>
    <t>(a) Basic (sen)</t>
  </si>
  <si>
    <t>(b) Diluted (sen)</t>
  </si>
  <si>
    <t>N/A</t>
  </si>
  <si>
    <t xml:space="preserve"> </t>
  </si>
  <si>
    <t>Unaudited Condensed Consolidated Statement Of Changes In Equity for the year ended 30 June 2003</t>
  </si>
  <si>
    <t>Reserve</t>
  </si>
  <si>
    <t xml:space="preserve">Share </t>
  </si>
  <si>
    <t>attributable</t>
  </si>
  <si>
    <t>Accumulated</t>
  </si>
  <si>
    <t>capital</t>
  </si>
  <si>
    <t>to capital</t>
  </si>
  <si>
    <t>losses</t>
  </si>
  <si>
    <t>Net gain not recognised in the Income Statement</t>
  </si>
  <si>
    <t>Net loss for the year</t>
  </si>
  <si>
    <t>At 30 June 2003</t>
  </si>
  <si>
    <t>The Condensed Consolidated Statement Of Changes In Equity should be read in conjunction with the Annual Financial Report for the financial year ended 30 June 2002.</t>
  </si>
  <si>
    <t>Notes</t>
  </si>
  <si>
    <t>A1</t>
  </si>
  <si>
    <t>Accounting policies and methods of computation</t>
  </si>
  <si>
    <t>A2</t>
  </si>
  <si>
    <t>Declaration of audit qualification</t>
  </si>
  <si>
    <t>The audit report of the Company's preceding annual financial statements was not subject to qualification.</t>
  </si>
  <si>
    <t>A3</t>
  </si>
  <si>
    <t>Seasonal or cyclical factors</t>
  </si>
  <si>
    <t>The group's business operations are not significantly affected by any seasonal and cyclical factors.</t>
  </si>
  <si>
    <t>A4</t>
  </si>
  <si>
    <t>Nature and amount of items affecting assets, liabilities, equity, net income, or cash flows that are unusual because of their nature, size, or incidence</t>
  </si>
  <si>
    <t>There are no items which are unusual in terms of their nature, size or incidence for the current interim period, other than as disclosed in the financial statements.</t>
  </si>
  <si>
    <t>A5</t>
  </si>
  <si>
    <t>Nature and amount of changes in estimates of amounts reported in prior interim periods of the current financial year or changes in estimates of amounts reported in prior financial years, which give a material effect in the current interim period</t>
  </si>
  <si>
    <t>There are no changes in the estimates of amounts, which give a material effect in the current interim period.</t>
  </si>
  <si>
    <t>A6</t>
  </si>
  <si>
    <t>Debt and equity securities</t>
  </si>
  <si>
    <t>There are no issue, cancellation, repurchases, resale and repayment of debt or equity securities for the current financial year-to-date.</t>
  </si>
  <si>
    <t>A7</t>
  </si>
  <si>
    <t>Dividends paid</t>
  </si>
  <si>
    <t>No dividends have been paid for the current financial year-to-date.</t>
  </si>
  <si>
    <t>A8</t>
  </si>
  <si>
    <t>Segmental reporting</t>
  </si>
  <si>
    <t>Segmental analysis for the current financial year-to-date is as follows:</t>
  </si>
  <si>
    <t>(Loss)/Profit</t>
  </si>
  <si>
    <t xml:space="preserve">before </t>
  </si>
  <si>
    <t>External</t>
  </si>
  <si>
    <t>Inter-segment</t>
  </si>
  <si>
    <t>taxation</t>
  </si>
  <si>
    <t>Analysis by activity</t>
  </si>
  <si>
    <t>Property development</t>
  </si>
  <si>
    <t>Plantation</t>
  </si>
  <si>
    <t>Granite quarry</t>
  </si>
  <si>
    <t>Manufacturing</t>
  </si>
  <si>
    <t>Investment holding and others</t>
  </si>
  <si>
    <t>Eliminations</t>
  </si>
  <si>
    <t>A9</t>
  </si>
  <si>
    <t>Valuations of property, plant and equipment</t>
  </si>
  <si>
    <t>The valuations of property, plant and equipment have been brought forward from the previous annual financial statements without any amendment.</t>
  </si>
  <si>
    <t>A10</t>
  </si>
  <si>
    <t>A11</t>
  </si>
  <si>
    <t>Effect of changes in the composition of the Group</t>
  </si>
  <si>
    <t>There are no changes in the composition of the Group for the current financial year-to-date.</t>
  </si>
  <si>
    <t>A12</t>
  </si>
  <si>
    <t>Contingent liabilities</t>
  </si>
  <si>
    <t>The changes in contingent liabilities since 30 June 2002 to the date of this report are as follows:</t>
  </si>
  <si>
    <t>Guarantees</t>
  </si>
  <si>
    <t>Liquidated ascertained damages</t>
  </si>
  <si>
    <t>A13</t>
  </si>
  <si>
    <t>Capital commitments</t>
  </si>
  <si>
    <t>Capital commitments not provided for in the financial statements as at 30 June 2003 is as follows:</t>
  </si>
  <si>
    <t>Approved and contracted for</t>
  </si>
  <si>
    <t>- investment property</t>
  </si>
  <si>
    <t>- property, plant and equipment</t>
  </si>
  <si>
    <t>Approved but not contracted for</t>
  </si>
  <si>
    <t>B1</t>
  </si>
  <si>
    <t>Review of performance</t>
  </si>
  <si>
    <t>B2</t>
  </si>
  <si>
    <t>Material changes in quarterly results</t>
  </si>
  <si>
    <t>B3</t>
  </si>
  <si>
    <t>Current year prospect</t>
  </si>
  <si>
    <t>B4</t>
  </si>
  <si>
    <t>Variance from profit forecast and shortfall in profit guarantee</t>
  </si>
  <si>
    <t>Not applicable.</t>
  </si>
  <si>
    <t>B5</t>
  </si>
  <si>
    <t xml:space="preserve">Current </t>
  </si>
  <si>
    <t>financial</t>
  </si>
  <si>
    <t>year-to-date</t>
  </si>
  <si>
    <t>Charge for the year</t>
  </si>
  <si>
    <t>Under provision in prior years</t>
  </si>
  <si>
    <t>B6</t>
  </si>
  <si>
    <t>Unquoted investments and/or properties</t>
  </si>
  <si>
    <t>There was no material sale of unquoted investments and/or properties for the current quarter and financial year-to-date.</t>
  </si>
  <si>
    <t>B7</t>
  </si>
  <si>
    <t>Quoted Securities</t>
  </si>
  <si>
    <t>Particulars of Quoted Securities:</t>
  </si>
  <si>
    <t xml:space="preserve">(a) </t>
  </si>
  <si>
    <t>Purchase/disposal</t>
  </si>
  <si>
    <t>Total purchase</t>
  </si>
  <si>
    <t>Total sale proceeds</t>
  </si>
  <si>
    <t>Total gain/(loss) on disposal</t>
  </si>
  <si>
    <t xml:space="preserve">(b) </t>
  </si>
  <si>
    <t>Balance as at 30 June 2003</t>
  </si>
  <si>
    <t>Total investments at cost</t>
  </si>
  <si>
    <t>Total investments at carrying value/</t>
  </si>
  <si>
    <t xml:space="preserve">     book value (after provision for </t>
  </si>
  <si>
    <t xml:space="preserve">     diminution in value)</t>
  </si>
  <si>
    <t>Total investments at market value</t>
  </si>
  <si>
    <t xml:space="preserve">     at end of reporting period</t>
  </si>
  <si>
    <t>B8</t>
  </si>
  <si>
    <t>Status of corporate proposals announced but not completed</t>
  </si>
  <si>
    <t>Status of utilisation of proceeds raised from corporate proposal</t>
  </si>
  <si>
    <t>B9</t>
  </si>
  <si>
    <t>Group borrowings</t>
  </si>
  <si>
    <t>The Group short-term borrowings are as follows:</t>
  </si>
  <si>
    <t>As at</t>
  </si>
  <si>
    <t>*Secured</t>
  </si>
  <si>
    <t>Unsecured</t>
  </si>
  <si>
    <t>B10</t>
  </si>
  <si>
    <t>Off balance sheet financial instruments</t>
  </si>
  <si>
    <t>There were no financial instruments with off balance sheet risk at the date of this report.</t>
  </si>
  <si>
    <t>B11</t>
  </si>
  <si>
    <t>Changes in material litigation (including status of any pending material litigation) since the last annual balance sheet date</t>
  </si>
  <si>
    <t>The list of material litigation is attached as Annexure 1.</t>
  </si>
  <si>
    <t>B12</t>
  </si>
  <si>
    <t>Dividend declared</t>
  </si>
  <si>
    <t>No dividend has been declared/recommended for the current financial year-to-date.</t>
  </si>
  <si>
    <t>B13</t>
  </si>
  <si>
    <t>3 months ended</t>
  </si>
  <si>
    <t>12 months ended</t>
  </si>
  <si>
    <t>Basic earnings per share</t>
  </si>
  <si>
    <t>Net loss for the year (RM'000)</t>
  </si>
  <si>
    <t xml:space="preserve">Number of ordinary shares in issue during the </t>
  </si>
  <si>
    <t>year ('000)</t>
  </si>
  <si>
    <t xml:space="preserve">Weighted average number of ordinary shares in </t>
  </si>
  <si>
    <t>issue ('000)</t>
  </si>
  <si>
    <t>Basic loss per ordinary share (sen)</t>
  </si>
  <si>
    <t>Diluted earnings per share</t>
  </si>
  <si>
    <t>Yap Siew Khim</t>
  </si>
  <si>
    <t>Company Secretary</t>
  </si>
  <si>
    <t>Kuala Lumpur</t>
  </si>
  <si>
    <t>Year-to-date</t>
  </si>
  <si>
    <t>CASH FLOW FROM OPERATING ACTIVITIES</t>
  </si>
  <si>
    <t>Adjustments for :</t>
  </si>
  <si>
    <t>Attributable profits recognised on development properties</t>
  </si>
  <si>
    <t>Depreciation</t>
  </si>
  <si>
    <t>Interest expense</t>
  </si>
  <si>
    <t>Interest income</t>
  </si>
  <si>
    <t>Provision for diminution in value of investments</t>
  </si>
  <si>
    <t>Cash generated from operations</t>
  </si>
  <si>
    <t>Taxation paid</t>
  </si>
  <si>
    <t>Interest paid</t>
  </si>
  <si>
    <t>CASH FLOWS FROM INVESTING ACTIVITIES</t>
  </si>
  <si>
    <t>Increase in investment property</t>
  </si>
  <si>
    <t>Proceeds from disposal of shares of investment in a subsidiary</t>
  </si>
  <si>
    <t>Proceeds from disposal of investment in an associated company</t>
  </si>
  <si>
    <t>Proceeds from disposal of property, plant and equipment</t>
  </si>
  <si>
    <t>Purchase of property, plant and equipment</t>
  </si>
  <si>
    <t>Interest received</t>
  </si>
  <si>
    <t>CASH FLOWS FROM FINANCING ACTIVITIES</t>
  </si>
  <si>
    <t>Decrease in amount due to an associated company</t>
  </si>
  <si>
    <t>Decrease in amount due to affiliated companies, net</t>
  </si>
  <si>
    <t>Uplift/(placement) of fixed deposits with a licensed bank</t>
  </si>
  <si>
    <t>Drawdown of borrowings</t>
  </si>
  <si>
    <t xml:space="preserve">Payment of dividend to minority interest by a subsidiary </t>
  </si>
  <si>
    <t>Repayment of hire purchase and lease payables</t>
  </si>
  <si>
    <t>Repayment of borrowings</t>
  </si>
  <si>
    <t>Payment of provisions</t>
  </si>
  <si>
    <t>Net cash used in financing activities</t>
  </si>
  <si>
    <t>EFFECTS ON EXCHANGE RATE CHANGES</t>
  </si>
  <si>
    <t>CASH AND CASH EQUIVALENTS AT BEGINNING OF FINANCIAL YEAR</t>
  </si>
  <si>
    <t>CASH AND CASH EQUIVALENTS AT END OF FINANCIAL YEAR</t>
  </si>
  <si>
    <t>The Condensed Consolidated Cash Flow Statement should be read in conjunction with the Annual Financial Report for the financial year ended 30 June 2002.</t>
  </si>
  <si>
    <t>Loss from operations</t>
  </si>
  <si>
    <t>Claims</t>
  </si>
  <si>
    <t>At 1 July 2002 (Audited)</t>
  </si>
  <si>
    <t>Prior year adjustments</t>
  </si>
  <si>
    <t>At 1 July 2002 (After prior year adjustment)</t>
  </si>
  <si>
    <t>The same accounting policies and methods of computation are followed in the interim financial statements as compared with the annual financial statements for the year ended 30 June 2002, except for the adoption of MASB 22 to MASB 27, which became effective for the period under review.</t>
  </si>
  <si>
    <t>The adoption of the above MASB standards have no material impact to the financial statements of the Group, except for the adoption of MASB 25 ("Income Taxes") which had given rise to prior year adjustments to the Accumulated losses accounts, the impact of the adjustments are shown in the Condensed Consolidated Statement of Changes in Equity.</t>
  </si>
  <si>
    <t>Provisions for liabilities</t>
  </si>
  <si>
    <t>Borrowings</t>
  </si>
  <si>
    <t>Transfer to deferred taxation</t>
  </si>
  <si>
    <t>The disproportionate taxation charge is due principally to certain expenses being disallowed for taxation purposes and the absence of Group relief for losses suffered by the Company and certain subsidiaries.</t>
  </si>
  <si>
    <t>Net (cash used in)/generated from investing activities</t>
  </si>
  <si>
    <t>Unaudited Condensed Consolidated Cash Flow Statement for the year ended 30 June 2003</t>
  </si>
  <si>
    <t>Changes in working capital</t>
  </si>
  <si>
    <t>Net cash (used in)/generated from operating activities</t>
  </si>
  <si>
    <t>(Increase)/derease in real property assets</t>
  </si>
  <si>
    <t>Conversion of term loan into overdraft</t>
  </si>
  <si>
    <t>NET (DECREASE)/INCREASE IN CASH AND CASH EQUIVALENTS</t>
  </si>
  <si>
    <t>The interim report has been prepared in accordance with MASB 26 "Interim Financial Reporting" and paragraph 9.22 of the Kuala Lumpur Stock Exchange Listing Requirements, and should be read in conjunction with the Group's financial statements for the year ended 30 June 2002.</t>
  </si>
  <si>
    <t>Significant post balance sheet event</t>
  </si>
  <si>
    <t>(i)</t>
  </si>
  <si>
    <t>Proposed Restructuring Scheme</t>
  </si>
  <si>
    <t>(ii)</t>
  </si>
  <si>
    <t>Other Corporate Proposals</t>
  </si>
  <si>
    <t>Meanwhile, the Company had received approval from the Securities Commission on 23 July 2003 that its proposed appeal on the profit guarantee arrangement for the proposed acquisition of the Kenny Heights Developments Sdn Bhd's lands under the Proposed Restructuring Scheme be based on profit after tax instead of profit before tax.</t>
  </si>
  <si>
    <t>The Company announced on 12 August 2003 that the Company's 64% sub-subsidiary in the Republic of South Africa, Kelgran Limited and its wholly-owned subsidiary, Kelgran Investments (Proprietary) Ltd ("KIPL") and JVK S.r.l ("Newco"), a company incorporated in Italy, had on 10 August 2003 entered into an agreement to undertake a proposed subscription of new ordinary shares in and involving KIPL, whereby Newco will hold approximately 51% shareholding in the enlarged share capital of KIPL following the said subscription. Mycom's effective shareholding in KIPL will be reduced to 31% from 64% as a result of the proposed subscription by Newco in KIPL.</t>
  </si>
  <si>
    <t>The Company announced on 20 May 2003 that the High Court of Malaya had on 19 May 2003 granted an order for the Company to convene a meeting with its shareholders in June or July 2003 to obtain their approval on a proposed scheme of arrangement involving a proposed capital reduction and consolidation, a proposed share premium account reduction and a proposed revaluation reserve account reduction pursuant to section 176(1) of the Companies Act 1965. The time had since lapsed and another application was made on 25 July 2003 to the Court for further time to convene the said meeting. The Company has now been granted till December 2003 to convene the meeting to coincide with an Extraordinary General Meeting to consider the Proposed Restructuring Scheme.</t>
  </si>
  <si>
    <t>The Group has no long term borrowings.</t>
  </si>
  <si>
    <t>* Included in the secured short-term borrowings are foreign currency loans of USD47,000,000 and Rand96,989,000.</t>
  </si>
  <si>
    <t>Other non cash items</t>
  </si>
  <si>
    <t>The group loss before tax of RM41.3 million for the current quarter as compared to the previous quarter's loss of RM21.2 million is mainly due to the adverse performance of the granite quarry division.</t>
  </si>
  <si>
    <t>Pending implementation of the Proposed Restructuring Scheme, the Group's results are not expected to register any material improvement for the financial year ending 30 June 2004.</t>
  </si>
  <si>
    <t>Operating (loss)/profit before working capital changes</t>
  </si>
  <si>
    <t>Loss/(gain) on dilution of invetment in an associated company</t>
  </si>
  <si>
    <t>Date : 29 August 2003</t>
  </si>
  <si>
    <t>The Condensed Consolidated Income Statements should be read in conjunction with the Annual Financial Report for the financial year ended 30 June 2002.</t>
  </si>
  <si>
    <t>The Condensed Consolidated Balance Sheets should be read in conjunction with the Annual Financial Report for the financial year ended 30 June 2002.</t>
  </si>
  <si>
    <t>The group's results for the current quarter and twelve-month period ended 30 June 2003 show unfavourable variances of 21% and 24% respectively as compared to the same periods last year. This is mainly due to the poor results reported by the granite quarry division.</t>
  </si>
  <si>
    <t>On behalf of the Board</t>
  </si>
  <si>
    <t>On 18 July 2003 the Company announced that it had entered into a conditional share sale agreement with Paramount Venue Sdn Bhd for the proposed sale of 100% equity interest in Sentul Murni Sdn Bhd. The Company, through Southern Investment Bank Bhd, has made an application to the Securities Commission (SC) for a waiver to comply with the SC Guidelines which requires a full submission under the SC's Format and Content of Application for Disposal of Asset/Business/Interest that results in a Significant Change in Business Direction for the proposed sale.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</si>
</sst>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s>
  <fonts count="5">
    <font>
      <sz val="10"/>
      <name val="Arial"/>
      <family val="0"/>
    </font>
    <font>
      <b/>
      <sz val="9.5"/>
      <name val="Arial"/>
      <family val="2"/>
    </font>
    <font>
      <sz val="9.5"/>
      <name val="Arial"/>
      <family val="2"/>
    </font>
    <font>
      <b/>
      <u val="single"/>
      <sz val="9.5"/>
      <name val="Arial"/>
      <family val="2"/>
    </font>
    <font>
      <u val="single"/>
      <sz val="9.5"/>
      <name val="Arial"/>
      <family val="2"/>
    </font>
  </fonts>
  <fills count="3">
    <fill>
      <patternFill/>
    </fill>
    <fill>
      <patternFill patternType="gray125"/>
    </fill>
    <fill>
      <patternFill patternType="solid">
        <fgColor indexed="43"/>
        <bgColor indexed="64"/>
      </patternFill>
    </fill>
  </fills>
  <borders count="7">
    <border>
      <left/>
      <right/>
      <top/>
      <bottom/>
      <diagonal/>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1" fillId="0" borderId="0" xfId="0" applyFont="1" applyAlignment="1" applyProtection="1">
      <alignment horizontal="center"/>
      <protection locked="0"/>
    </xf>
    <xf numFmtId="0" fontId="2" fillId="0" borderId="0" xfId="0" applyFont="1" applyAlignment="1" applyProtection="1">
      <alignment/>
      <protection locked="0"/>
    </xf>
    <xf numFmtId="0" fontId="1" fillId="0" borderId="0" xfId="0" applyFont="1" applyAlignment="1" applyProtection="1">
      <alignment/>
      <protection locked="0"/>
    </xf>
    <xf numFmtId="164" fontId="2" fillId="0" borderId="0" xfId="15" applyNumberFormat="1" applyFont="1" applyAlignment="1" applyProtection="1">
      <alignment/>
      <protection locked="0"/>
    </xf>
    <xf numFmtId="164" fontId="2" fillId="0" borderId="1" xfId="15" applyNumberFormat="1" applyFont="1" applyBorder="1" applyAlignment="1" applyProtection="1">
      <alignment/>
      <protection locked="0"/>
    </xf>
    <xf numFmtId="164" fontId="2" fillId="0" borderId="0" xfId="15" applyNumberFormat="1" applyFont="1" applyFill="1" applyAlignment="1" applyProtection="1">
      <alignment/>
      <protection locked="0"/>
    </xf>
    <xf numFmtId="164" fontId="2" fillId="0" borderId="1" xfId="15" applyNumberFormat="1" applyFont="1" applyFill="1" applyBorder="1" applyAlignment="1" applyProtection="1">
      <alignment/>
      <protection locked="0"/>
    </xf>
    <xf numFmtId="0" fontId="2" fillId="0" borderId="2" xfId="0" applyFont="1" applyBorder="1" applyAlignment="1" applyProtection="1">
      <alignment/>
      <protection locked="0"/>
    </xf>
    <xf numFmtId="164" fontId="2" fillId="0" borderId="3" xfId="0" applyNumberFormat="1" applyFont="1" applyFill="1" applyBorder="1" applyAlignment="1" applyProtection="1">
      <alignment/>
      <protection locked="0"/>
    </xf>
    <xf numFmtId="164" fontId="2" fillId="0" borderId="4" xfId="15" applyNumberFormat="1" applyFont="1" applyBorder="1" applyAlignment="1" applyProtection="1">
      <alignment/>
      <protection locked="0"/>
    </xf>
    <xf numFmtId="0" fontId="2" fillId="0" borderId="0" xfId="0" applyFont="1" applyAlignment="1" applyProtection="1">
      <alignment horizontal="justify" vertical="center" wrapText="1"/>
      <protection locked="0"/>
    </xf>
    <xf numFmtId="0" fontId="1" fillId="0" borderId="0" xfId="0" applyNumberFormat="1" applyFont="1" applyAlignment="1" applyProtection="1" quotePrefix="1">
      <alignment horizontal="center"/>
      <protection locked="0"/>
    </xf>
    <xf numFmtId="0" fontId="1" fillId="0" borderId="0" xfId="0" applyFont="1" applyAlignment="1" applyProtection="1" quotePrefix="1">
      <alignment horizontal="center"/>
      <protection locked="0"/>
    </xf>
    <xf numFmtId="41" fontId="2" fillId="0" borderId="0" xfId="0" applyNumberFormat="1" applyFont="1" applyAlignment="1" applyProtection="1">
      <alignment/>
      <protection locked="0"/>
    </xf>
    <xf numFmtId="41" fontId="2" fillId="0" borderId="0" xfId="0" applyNumberFormat="1" applyFont="1" applyFill="1" applyAlignment="1" applyProtection="1">
      <alignment/>
      <protection locked="0"/>
    </xf>
    <xf numFmtId="41" fontId="2" fillId="0" borderId="4" xfId="0" applyNumberFormat="1" applyFont="1" applyBorder="1" applyAlignment="1" applyProtection="1">
      <alignment/>
      <protection locked="0"/>
    </xf>
    <xf numFmtId="43" fontId="2" fillId="0" borderId="0" xfId="0" applyNumberFormat="1" applyFont="1" applyAlignment="1" applyProtection="1">
      <alignment/>
      <protection locked="0"/>
    </xf>
    <xf numFmtId="0" fontId="2" fillId="0" borderId="0" xfId="0" applyFont="1" applyAlignment="1" applyProtection="1">
      <alignment horizontal="right"/>
      <protection locked="0"/>
    </xf>
    <xf numFmtId="0" fontId="2" fillId="0" borderId="0" xfId="0" applyFont="1" applyAlignment="1" applyProtection="1">
      <alignment horizontal="fill"/>
      <protection locked="0"/>
    </xf>
    <xf numFmtId="0" fontId="2" fillId="0" borderId="0" xfId="0" applyFont="1" applyBorder="1" applyAlignment="1" applyProtection="1">
      <alignment/>
      <protection locked="0"/>
    </xf>
    <xf numFmtId="0" fontId="1" fillId="0" borderId="0" xfId="0" applyFont="1" applyBorder="1" applyAlignment="1" applyProtection="1">
      <alignment horizontal="center"/>
      <protection locked="0"/>
    </xf>
    <xf numFmtId="164" fontId="2" fillId="0" borderId="0" xfId="15" applyNumberFormat="1" applyFont="1" applyBorder="1" applyAlignment="1" applyProtection="1">
      <alignment/>
      <protection locked="0"/>
    </xf>
    <xf numFmtId="164" fontId="2" fillId="0" borderId="5" xfId="15" applyNumberFormat="1" applyFont="1" applyBorder="1" applyAlignment="1" applyProtection="1">
      <alignment/>
      <protection locked="0"/>
    </xf>
    <xf numFmtId="0" fontId="2" fillId="0" borderId="0" xfId="0" applyFont="1" applyAlignment="1" applyProtection="1">
      <alignment/>
      <protection locked="0"/>
    </xf>
    <xf numFmtId="0" fontId="2" fillId="2" borderId="0" xfId="0" applyFont="1" applyFill="1" applyAlignment="1" applyProtection="1">
      <alignment horizontal="justify" vertical="center" wrapText="1"/>
      <protection locked="0"/>
    </xf>
    <xf numFmtId="0" fontId="3" fillId="0" borderId="0" xfId="0" applyFont="1" applyAlignment="1" applyProtection="1">
      <alignment/>
      <protection locked="0"/>
    </xf>
    <xf numFmtId="0" fontId="1" fillId="0" borderId="0" xfId="0" applyFont="1" applyAlignment="1" applyProtection="1">
      <alignment horizontal="left" vertical="top"/>
      <protection locked="0"/>
    </xf>
    <xf numFmtId="0" fontId="2" fillId="0" borderId="0" xfId="0" applyFont="1" applyAlignment="1" applyProtection="1">
      <alignment horizontal="justify" vertical="top"/>
      <protection locked="0"/>
    </xf>
    <xf numFmtId="0" fontId="2" fillId="0" borderId="0" xfId="0" applyFont="1" applyBorder="1" applyAlignment="1" applyProtection="1">
      <alignment horizontal="justify" vertical="top"/>
      <protection locked="0"/>
    </xf>
    <xf numFmtId="0" fontId="2" fillId="0" borderId="0" xfId="0" applyFont="1" applyAlignment="1" applyProtection="1">
      <alignment horizontal="left"/>
      <protection locked="0"/>
    </xf>
    <xf numFmtId="0" fontId="1" fillId="0" borderId="0" xfId="0" applyFont="1" applyFill="1" applyAlignment="1" applyProtection="1">
      <alignment/>
      <protection locked="0"/>
    </xf>
    <xf numFmtId="0" fontId="2" fillId="0" borderId="0" xfId="0" applyFont="1" applyAlignment="1" applyProtection="1">
      <alignment horizontal="center"/>
      <protection locked="0"/>
    </xf>
    <xf numFmtId="0" fontId="2" fillId="0" borderId="4" xfId="0" applyFont="1" applyBorder="1" applyAlignment="1" applyProtection="1">
      <alignment horizontal="center"/>
      <protection locked="0"/>
    </xf>
    <xf numFmtId="0" fontId="2" fillId="0" borderId="4" xfId="0" applyFont="1" applyBorder="1" applyAlignment="1" applyProtection="1">
      <alignment/>
      <protection locked="0"/>
    </xf>
    <xf numFmtId="0" fontId="1" fillId="0" borderId="4" xfId="0" applyFont="1" applyBorder="1" applyAlignment="1" applyProtection="1">
      <alignment horizontal="center"/>
      <protection locked="0"/>
    </xf>
    <xf numFmtId="0" fontId="4" fillId="0" borderId="0" xfId="0" applyFont="1" applyAlignment="1" applyProtection="1">
      <alignment/>
      <protection locked="0"/>
    </xf>
    <xf numFmtId="164" fontId="2" fillId="0" borderId="4" xfId="15" applyNumberFormat="1" applyFont="1" applyFill="1" applyBorder="1" applyAlignment="1" applyProtection="1">
      <alignment/>
      <protection locked="0"/>
    </xf>
    <xf numFmtId="164" fontId="2" fillId="0" borderId="5" xfId="15" applyNumberFormat="1" applyFont="1" applyFill="1" applyBorder="1" applyAlignment="1" applyProtection="1">
      <alignment/>
      <protection locked="0"/>
    </xf>
    <xf numFmtId="164" fontId="2" fillId="0" borderId="2" xfId="15" applyNumberFormat="1" applyFont="1" applyBorder="1" applyAlignment="1" applyProtection="1">
      <alignment/>
      <protection locked="0"/>
    </xf>
    <xf numFmtId="164" fontId="2" fillId="0" borderId="2" xfId="15" applyNumberFormat="1" applyFont="1" applyFill="1" applyBorder="1" applyAlignment="1" applyProtection="1">
      <alignment/>
      <protection locked="0"/>
    </xf>
    <xf numFmtId="0" fontId="2" fillId="0" borderId="0" xfId="0" applyFont="1" applyAlignment="1" applyProtection="1">
      <alignment horizontal="centerContinuous" vertical="justify"/>
      <protection locked="0"/>
    </xf>
    <xf numFmtId="0" fontId="2" fillId="0" borderId="0" xfId="0" applyFont="1" applyAlignment="1" applyProtection="1">
      <alignment vertical="top"/>
      <protection locked="0"/>
    </xf>
    <xf numFmtId="0" fontId="0" fillId="0" borderId="0" xfId="0" applyAlignment="1" applyProtection="1">
      <alignment horizontal="justify" vertical="center"/>
      <protection locked="0"/>
    </xf>
    <xf numFmtId="0" fontId="2" fillId="0" borderId="0" xfId="0" applyFont="1" applyAlignment="1" applyProtection="1">
      <alignment horizontal="left" indent="1"/>
      <protection locked="0"/>
    </xf>
    <xf numFmtId="0" fontId="1" fillId="0" borderId="0" xfId="0" applyFont="1" applyAlignment="1" applyProtection="1">
      <alignment vertical="top"/>
      <protection locked="0"/>
    </xf>
    <xf numFmtId="0" fontId="2" fillId="0" borderId="0" xfId="0" applyFont="1" applyAlignment="1" applyProtection="1">
      <alignment wrapText="1"/>
      <protection locked="0"/>
    </xf>
    <xf numFmtId="41" fontId="2" fillId="0" borderId="0" xfId="0" applyNumberFormat="1" applyFont="1" applyBorder="1" applyAlignment="1" applyProtection="1">
      <alignment/>
      <protection locked="0"/>
    </xf>
    <xf numFmtId="0" fontId="2" fillId="0" borderId="0" xfId="0" applyFont="1" applyAlignment="1" applyProtection="1">
      <alignment horizontal="left" wrapText="1" indent="1"/>
      <protection locked="0"/>
    </xf>
    <xf numFmtId="43" fontId="2" fillId="0" borderId="0" xfId="15" applyFont="1" applyAlignment="1" applyProtection="1">
      <alignment/>
      <protection locked="0"/>
    </xf>
    <xf numFmtId="15" fontId="1" fillId="0" borderId="0" xfId="0" applyNumberFormat="1" applyFont="1" applyAlignment="1" applyProtection="1" quotePrefix="1">
      <alignment horizontal="center"/>
      <protection locked="0"/>
    </xf>
    <xf numFmtId="0" fontId="2" fillId="0" borderId="6" xfId="0" applyFont="1" applyBorder="1" applyAlignment="1" applyProtection="1">
      <alignment/>
      <protection locked="0"/>
    </xf>
    <xf numFmtId="164" fontId="2" fillId="0" borderId="0" xfId="15" applyNumberFormat="1" applyFont="1" applyFill="1" applyBorder="1" applyAlignment="1" applyProtection="1">
      <alignment/>
      <protection locked="0"/>
    </xf>
    <xf numFmtId="0" fontId="1" fillId="0" borderId="0" xfId="0" applyFont="1" applyFill="1" applyAlignment="1" applyProtection="1">
      <alignment horizontal="center"/>
      <protection locked="0"/>
    </xf>
    <xf numFmtId="0" fontId="2" fillId="0" borderId="0" xfId="0" applyFont="1" applyFill="1" applyAlignment="1" applyProtection="1">
      <alignment/>
      <protection locked="0"/>
    </xf>
    <xf numFmtId="164" fontId="2" fillId="0" borderId="0" xfId="0" applyNumberFormat="1" applyFont="1" applyFill="1" applyAlignment="1" applyProtection="1">
      <alignment/>
      <protection locked="0"/>
    </xf>
    <xf numFmtId="0" fontId="2" fillId="0" borderId="2" xfId="0" applyFont="1" applyFill="1" applyBorder="1" applyAlignment="1" applyProtection="1">
      <alignment/>
      <protection locked="0"/>
    </xf>
    <xf numFmtId="164" fontId="2" fillId="0" borderId="2" xfId="0" applyNumberFormat="1" applyFont="1" applyFill="1" applyBorder="1" applyAlignment="1" applyProtection="1">
      <alignment/>
      <protection locked="0"/>
    </xf>
    <xf numFmtId="0" fontId="2" fillId="0" borderId="0" xfId="0" applyFont="1" applyFill="1" applyAlignment="1" applyProtection="1">
      <alignment horizontal="justify" vertical="center" wrapText="1"/>
      <protection locked="0"/>
    </xf>
    <xf numFmtId="0" fontId="2" fillId="0" borderId="0" xfId="0" applyFont="1" applyFill="1" applyAlignment="1" applyProtection="1">
      <alignment horizontal="justify" vertical="center" wrapText="1"/>
      <protection locked="0"/>
    </xf>
    <xf numFmtId="0" fontId="1" fillId="0" borderId="0" xfId="0" applyFont="1" applyFill="1" applyAlignment="1" applyProtection="1">
      <alignment horizontal="center"/>
      <protection locked="0"/>
    </xf>
    <xf numFmtId="0" fontId="2" fillId="0" borderId="0" xfId="0" applyFont="1" applyAlignment="1" applyProtection="1">
      <alignment/>
      <protection locked="0"/>
    </xf>
    <xf numFmtId="0" fontId="1" fillId="0" borderId="0" xfId="0" applyFont="1" applyAlignment="1" applyProtection="1">
      <alignment/>
      <protection locked="0"/>
    </xf>
    <xf numFmtId="0" fontId="1" fillId="0" borderId="0" xfId="0" applyFont="1" applyAlignment="1" applyProtection="1">
      <alignment horizontal="center"/>
      <protection locked="0"/>
    </xf>
    <xf numFmtId="0" fontId="2" fillId="0" borderId="0" xfId="0" applyFont="1" applyAlignment="1" applyProtection="1">
      <alignment horizontal="justify" vertical="center" wrapText="1"/>
      <protection locked="0"/>
    </xf>
    <xf numFmtId="0" fontId="0" fillId="0" borderId="0" xfId="0" applyAlignment="1">
      <alignment wrapText="1"/>
    </xf>
    <xf numFmtId="0" fontId="0" fillId="0" borderId="0" xfId="0" applyFill="1" applyAlignment="1" applyProtection="1">
      <alignment/>
      <protection locked="0"/>
    </xf>
    <xf numFmtId="0" fontId="1" fillId="0" borderId="0" xfId="0" applyFont="1" applyAlignment="1" applyProtection="1">
      <alignment horizontal="justify" vertical="center" wrapText="1"/>
      <protection locked="0"/>
    </xf>
    <xf numFmtId="0" fontId="0" fillId="0" borderId="0" xfId="0" applyAlignment="1" applyProtection="1">
      <alignment/>
      <protection locked="0"/>
    </xf>
    <xf numFmtId="0" fontId="0" fillId="0" borderId="0" xfId="0" applyAlignment="1" applyProtection="1">
      <alignment horizontal="center"/>
      <protection locked="0"/>
    </xf>
    <xf numFmtId="0" fontId="2" fillId="0" borderId="0" xfId="0" applyFont="1" applyFill="1" applyAlignment="1" applyProtection="1">
      <alignment horizontal="justify" vertical="top" wrapText="1"/>
      <protection locked="0"/>
    </xf>
    <xf numFmtId="0" fontId="0" fillId="0" borderId="0" xfId="0" applyFill="1" applyAlignment="1" applyProtection="1">
      <alignment horizontal="justify" vertical="top"/>
      <protection locked="0"/>
    </xf>
    <xf numFmtId="0" fontId="2" fillId="0" borderId="0" xfId="0" applyFont="1" applyAlignment="1" applyProtection="1">
      <alignment horizontal="justify" vertical="top" wrapText="1"/>
      <protection locked="0"/>
    </xf>
    <xf numFmtId="0" fontId="0" fillId="0" borderId="0" xfId="0" applyAlignment="1" applyProtection="1">
      <alignment horizontal="justify" vertical="top"/>
      <protection locked="0"/>
    </xf>
    <xf numFmtId="0" fontId="1" fillId="0" borderId="0" xfId="0" applyFont="1" applyAlignment="1" applyProtection="1">
      <alignment horizontal="justify" vertical="top" wrapText="1"/>
      <protection locked="0"/>
    </xf>
    <xf numFmtId="0" fontId="2" fillId="0" borderId="0" xfId="0" applyFont="1" applyFill="1" applyAlignment="1" applyProtection="1">
      <alignment horizontal="justify" vertical="center" shrinkToFit="1"/>
      <protection locked="0"/>
    </xf>
    <xf numFmtId="0" fontId="0" fillId="0" borderId="0" xfId="0" applyFill="1" applyAlignment="1" applyProtection="1">
      <alignment horizontal="justify" vertical="center" shrinkToFit="1"/>
      <protection locked="0"/>
    </xf>
    <xf numFmtId="0" fontId="2" fillId="0" borderId="0" xfId="0" applyFont="1" applyAlignment="1" applyProtection="1">
      <alignment horizontal="justify" wrapText="1"/>
      <protection locked="0"/>
    </xf>
    <xf numFmtId="0" fontId="0" fillId="0" borderId="0" xfId="0"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com\Consol\Mycom%20June%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ycom\Consol\KLSE%20and%20EXC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DOWS\recycle\Notes%20and%20FA%20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NDOWS\recycle\Cash%20Flow%20June%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c - PL"/>
      <sheetName val="Mc - BS"/>
      <sheetName val="Mc - Adj"/>
      <sheetName val="Mc  - P"/>
      <sheetName val="Mc - J"/>
      <sheetName val="Mc - C&amp;B"/>
      <sheetName val="Mc - CL1"/>
      <sheetName val="Mc- CL2"/>
      <sheetName val="Segm 03"/>
      <sheetName val="Segm 02"/>
      <sheetName val="Inter-co"/>
      <sheetName val="Financial I"/>
      <sheetName val="Recon"/>
      <sheetName val="Affiliated"/>
    </sheetNames>
    <sheetDataSet>
      <sheetData sheetId="0">
        <row r="8">
          <cell r="Y8">
            <v>276661.3252335025</v>
          </cell>
        </row>
        <row r="10">
          <cell r="Y10">
            <v>5382.247852791877</v>
          </cell>
        </row>
        <row r="11">
          <cell r="Y11">
            <v>-144.987</v>
          </cell>
        </row>
        <row r="12">
          <cell r="Y12">
            <v>-2893.922</v>
          </cell>
        </row>
        <row r="13">
          <cell r="Y13">
            <v>-38671.314</v>
          </cell>
        </row>
        <row r="14">
          <cell r="Y14">
            <v>-17261.903329949237</v>
          </cell>
        </row>
        <row r="15">
          <cell r="Y15">
            <v>-3026.32</v>
          </cell>
        </row>
        <row r="16">
          <cell r="Y16">
            <v>0</v>
          </cell>
        </row>
        <row r="17">
          <cell r="Y17">
            <v>-13647.114</v>
          </cell>
        </row>
        <row r="18">
          <cell r="Y18">
            <v>-23.104</v>
          </cell>
        </row>
        <row r="19">
          <cell r="Y19">
            <v>-13.756</v>
          </cell>
        </row>
        <row r="20">
          <cell r="Y20">
            <v>-243845.81593401014</v>
          </cell>
        </row>
        <row r="26">
          <cell r="Y26">
            <v>-58055.296131979696</v>
          </cell>
        </row>
        <row r="30">
          <cell r="Y30">
            <v>-5464.504010152284</v>
          </cell>
        </row>
        <row r="31">
          <cell r="Y31">
            <v>-849.343</v>
          </cell>
        </row>
        <row r="35">
          <cell r="Y35">
            <v>24606.43177395939</v>
          </cell>
        </row>
      </sheetData>
      <sheetData sheetId="1">
        <row r="8">
          <cell r="Z8">
            <v>480748.7957715736</v>
          </cell>
        </row>
        <row r="19">
          <cell r="Z19">
            <v>342447.702</v>
          </cell>
        </row>
        <row r="22">
          <cell r="Z22">
            <v>22233.035</v>
          </cell>
        </row>
        <row r="36">
          <cell r="Z36">
            <v>39471.383</v>
          </cell>
        </row>
        <row r="37">
          <cell r="Z37">
            <v>69515.95412182741</v>
          </cell>
        </row>
        <row r="44">
          <cell r="Z44">
            <v>72663.591</v>
          </cell>
        </row>
        <row r="49">
          <cell r="Z49">
            <v>4727.802</v>
          </cell>
        </row>
        <row r="51">
          <cell r="Z51">
            <v>12236.206167512692</v>
          </cell>
        </row>
        <row r="59">
          <cell r="Z59">
            <v>-339.158</v>
          </cell>
        </row>
        <row r="65">
          <cell r="Z65">
            <v>-388820.8586548223</v>
          </cell>
        </row>
        <row r="68">
          <cell r="Y68">
            <v>-63158674.3857868</v>
          </cell>
        </row>
        <row r="69">
          <cell r="Y69">
            <v>-1515588</v>
          </cell>
        </row>
        <row r="70">
          <cell r="Y70">
            <v>-88853729</v>
          </cell>
        </row>
        <row r="71">
          <cell r="Y71">
            <v>-187100000</v>
          </cell>
        </row>
        <row r="72">
          <cell r="Y72">
            <v>-217479277.01015228</v>
          </cell>
        </row>
        <row r="73">
          <cell r="Y73">
            <v>-52571000</v>
          </cell>
        </row>
        <row r="75">
          <cell r="Y75">
            <v>-15500676</v>
          </cell>
        </row>
        <row r="76">
          <cell r="Y76">
            <v>-5000000</v>
          </cell>
        </row>
        <row r="77">
          <cell r="Y77">
            <v>-14000000</v>
          </cell>
          <cell r="Z77">
            <v>-645178.9443959391</v>
          </cell>
        </row>
        <row r="78">
          <cell r="Z78">
            <v>-16769.54</v>
          </cell>
        </row>
        <row r="79">
          <cell r="Z79">
            <v>-189512.03</v>
          </cell>
        </row>
        <row r="80">
          <cell r="Z80">
            <v>-21357.62550253807</v>
          </cell>
        </row>
        <row r="85">
          <cell r="Z85">
            <v>-392682.0752639594</v>
          </cell>
        </row>
        <row r="92">
          <cell r="Z92">
            <v>-241490.50493850987</v>
          </cell>
        </row>
        <row r="94">
          <cell r="Z94">
            <v>943701.67084533</v>
          </cell>
        </row>
        <row r="98">
          <cell r="Z98">
            <v>-60329.22945446701</v>
          </cell>
        </row>
        <row r="102">
          <cell r="Z102">
            <v>-242.679</v>
          </cell>
        </row>
        <row r="104">
          <cell r="Z104">
            <v>-6901.522842639593</v>
          </cell>
        </row>
        <row r="105">
          <cell r="Z105">
            <v>-24121.97438071066</v>
          </cell>
        </row>
      </sheetData>
      <sheetData sheetId="6">
        <row r="23">
          <cell r="P23">
            <v>7180.424686915518</v>
          </cell>
        </row>
        <row r="32">
          <cell r="P32">
            <v>-11.410999999999774</v>
          </cell>
        </row>
        <row r="35">
          <cell r="P35">
            <v>5796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PL"/>
      <sheetName val="CF (Amended)"/>
      <sheetName val="CF"/>
      <sheetName val="Note"/>
      <sheetName val="EXCO-R"/>
      <sheetName val="EXCO-EBITDA"/>
      <sheetName val="EXCO-PBT"/>
      <sheetName val="Wkgs"/>
    </sheetNames>
    <sheetDataSet>
      <sheetData sheetId="0">
        <row r="43">
          <cell r="C43">
            <v>392683.0752639594</v>
          </cell>
          <cell r="E43">
            <v>392683</v>
          </cell>
        </row>
        <row r="44">
          <cell r="E44">
            <v>227775</v>
          </cell>
        </row>
        <row r="45">
          <cell r="E45">
            <v>-850000</v>
          </cell>
        </row>
      </sheetData>
      <sheetData sheetId="1">
        <row r="36">
          <cell r="C36">
            <v>-31269.374545837578</v>
          </cell>
          <cell r="E36">
            <v>-49911</v>
          </cell>
          <cell r="G36">
            <v>-77248.37454583758</v>
          </cell>
          <cell r="I36">
            <v>-92097</v>
          </cell>
        </row>
      </sheetData>
      <sheetData sheetId="5">
        <row r="14">
          <cell r="I14">
            <v>6505.268</v>
          </cell>
        </row>
        <row r="26">
          <cell r="I26">
            <v>44430.022</v>
          </cell>
        </row>
        <row r="31">
          <cell r="I31">
            <v>174586.29441624365</v>
          </cell>
        </row>
        <row r="35">
          <cell r="I35">
            <v>46666.621</v>
          </cell>
        </row>
        <row r="41">
          <cell r="I41">
            <v>4473.209817258883</v>
          </cell>
        </row>
        <row r="61">
          <cell r="I61">
            <v>-23.249</v>
          </cell>
        </row>
      </sheetData>
      <sheetData sheetId="7">
        <row r="12">
          <cell r="I12">
            <v>-1667.3580000000004</v>
          </cell>
        </row>
        <row r="24">
          <cell r="I24">
            <v>12250</v>
          </cell>
        </row>
        <row r="28">
          <cell r="I28">
            <v>-34084</v>
          </cell>
        </row>
        <row r="31">
          <cell r="I31">
            <v>-28688</v>
          </cell>
        </row>
        <row r="37">
          <cell r="I37">
            <v>-43350.383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uta - Note"/>
      <sheetName val="Mycom - Note"/>
      <sheetName val="Duta - FA"/>
      <sheetName val="Mycom - FA"/>
      <sheetName val="Dir remu"/>
      <sheetName val="Tax 2002"/>
    </sheetNames>
    <sheetDataSet>
      <sheetData sheetId="1">
        <row r="160">
          <cell r="X160">
            <v>3862484</v>
          </cell>
        </row>
        <row r="167">
          <cell r="X167">
            <v>849344</v>
          </cell>
        </row>
        <row r="172">
          <cell r="X172">
            <v>1602020</v>
          </cell>
        </row>
        <row r="596">
          <cell r="X596">
            <v>200177085</v>
          </cell>
        </row>
        <row r="597">
          <cell r="X597">
            <v>0</v>
          </cell>
        </row>
        <row r="600">
          <cell r="X600">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c "/>
      <sheetName val="Duta"/>
      <sheetName val="Mycom"/>
      <sheetName val="MCSA"/>
      <sheetName val="MCSA 1"/>
    </sheetNames>
    <sheetDataSet>
      <sheetData sheetId="0">
        <row r="54">
          <cell r="Y54">
            <v>1197.903</v>
          </cell>
        </row>
        <row r="55">
          <cell r="Y55">
            <v>0</v>
          </cell>
        </row>
        <row r="75">
          <cell r="Y75">
            <v>1524.489</v>
          </cell>
        </row>
        <row r="76">
          <cell r="Y76">
            <v>-22528.206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59"/>
  <sheetViews>
    <sheetView zoomScale="90" zoomScaleNormal="90" workbookViewId="0" topLeftCell="A47">
      <selection activeCell="A60" sqref="A60"/>
    </sheetView>
  </sheetViews>
  <sheetFormatPr defaultColWidth="9.140625" defaultRowHeight="12.75"/>
  <cols>
    <col min="1" max="1" width="50.28125" style="54" customWidth="1"/>
    <col min="2" max="2" width="8.00390625" style="54" customWidth="1"/>
    <col min="3" max="3" width="17.140625" style="54" bestFit="1" customWidth="1"/>
    <col min="4" max="4" width="6.7109375" style="54" customWidth="1"/>
    <col min="5" max="5" width="17.140625" style="54" bestFit="1" customWidth="1"/>
    <col min="6" max="16384" width="7.7109375" style="54" customWidth="1"/>
  </cols>
  <sheetData>
    <row r="1" spans="1:5" ht="12.75">
      <c r="A1" s="60" t="s">
        <v>0</v>
      </c>
      <c r="B1" s="60"/>
      <c r="C1" s="60"/>
      <c r="D1" s="60"/>
      <c r="E1" s="60"/>
    </row>
    <row r="2" spans="1:5" ht="12.75">
      <c r="A2" s="60" t="s">
        <v>1</v>
      </c>
      <c r="B2" s="60"/>
      <c r="C2" s="60"/>
      <c r="D2" s="60"/>
      <c r="E2" s="60"/>
    </row>
    <row r="3" spans="1:5" ht="12.75">
      <c r="A3" s="60" t="s">
        <v>2</v>
      </c>
      <c r="B3" s="60"/>
      <c r="C3" s="60"/>
      <c r="D3" s="60"/>
      <c r="E3" s="60"/>
    </row>
    <row r="5" spans="1:5" ht="12.75">
      <c r="A5" s="60" t="s">
        <v>3</v>
      </c>
      <c r="B5" s="60"/>
      <c r="C5" s="60"/>
      <c r="D5" s="60"/>
      <c r="E5" s="60"/>
    </row>
    <row r="8" ht="12.75">
      <c r="A8" s="31" t="s">
        <v>4</v>
      </c>
    </row>
    <row r="10" ht="12" customHeight="1"/>
    <row r="11" spans="3:5" ht="12.75">
      <c r="C11" s="53" t="s">
        <v>5</v>
      </c>
      <c r="E11" s="53" t="s">
        <v>6</v>
      </c>
    </row>
    <row r="12" spans="3:5" ht="12.75">
      <c r="C12" s="53" t="s">
        <v>7</v>
      </c>
      <c r="E12" s="53" t="s">
        <v>7</v>
      </c>
    </row>
    <row r="13" spans="3:5" ht="12.75">
      <c r="C13" s="53" t="s">
        <v>8</v>
      </c>
      <c r="E13" s="53" t="s">
        <v>9</v>
      </c>
    </row>
    <row r="15" ht="12.75">
      <c r="A15" s="31" t="s">
        <v>10</v>
      </c>
    </row>
    <row r="16" spans="1:5" ht="12.75">
      <c r="A16" s="54" t="s">
        <v>11</v>
      </c>
      <c r="C16" s="6">
        <f>'[1]Mc - BS'!$Z$8</f>
        <v>480748.7957715736</v>
      </c>
      <c r="E16" s="6">
        <v>484192</v>
      </c>
    </row>
    <row r="17" spans="1:5" ht="12.75">
      <c r="A17" s="54" t="s">
        <v>12</v>
      </c>
      <c r="C17" s="6">
        <f>'[1]Mc - BS'!$Z$19</f>
        <v>342447.702</v>
      </c>
      <c r="E17" s="6">
        <v>340329</v>
      </c>
    </row>
    <row r="18" spans="1:5" ht="12.75">
      <c r="A18" s="54" t="s">
        <v>13</v>
      </c>
      <c r="C18" s="6">
        <f>'[1]Mc - BS'!$Z$22</f>
        <v>22233.035</v>
      </c>
      <c r="E18" s="6">
        <v>21938</v>
      </c>
    </row>
    <row r="19" spans="3:5" ht="12.75">
      <c r="C19" s="7">
        <f>SUM(C16:C18)</f>
        <v>845429.5327715736</v>
      </c>
      <c r="E19" s="7">
        <f>SUM(E16:E18)</f>
        <v>846459</v>
      </c>
    </row>
    <row r="21" ht="12.75">
      <c r="A21" s="31" t="s">
        <v>14</v>
      </c>
    </row>
    <row r="22" spans="1:5" ht="12.75">
      <c r="A22" s="54" t="s">
        <v>15</v>
      </c>
      <c r="C22" s="6">
        <f>'[1]Mc - BS'!$Z$36</f>
        <v>39471.383</v>
      </c>
      <c r="E22" s="6">
        <v>39002</v>
      </c>
    </row>
    <row r="23" spans="1:5" ht="12.75">
      <c r="A23" s="54" t="s">
        <v>16</v>
      </c>
      <c r="C23" s="6">
        <f>'[1]Mc - BS'!$Z$37</f>
        <v>69515.95412182741</v>
      </c>
      <c r="E23" s="6">
        <v>56934</v>
      </c>
    </row>
    <row r="24" spans="1:5" ht="12.75">
      <c r="A24" s="54" t="s">
        <v>17</v>
      </c>
      <c r="C24" s="6">
        <f>'[1]Mc - BS'!$Z$44</f>
        <v>72663.591</v>
      </c>
      <c r="E24" s="6">
        <v>91308</v>
      </c>
    </row>
    <row r="25" spans="1:5" ht="12.75">
      <c r="A25" s="54" t="s">
        <v>18</v>
      </c>
      <c r="C25" s="6">
        <f>'[1]Mc - BS'!$Z$49</f>
        <v>4727.802</v>
      </c>
      <c r="E25" s="6">
        <v>3221</v>
      </c>
    </row>
    <row r="26" spans="1:5" ht="12.75">
      <c r="A26" s="54" t="s">
        <v>19</v>
      </c>
      <c r="C26" s="6">
        <f>'[1]Mc - BS'!$Z$51</f>
        <v>12236.206167512692</v>
      </c>
      <c r="E26" s="6">
        <v>17679</v>
      </c>
    </row>
    <row r="27" spans="3:5" ht="12.75">
      <c r="C27" s="7">
        <f>SUM(C22:C26)</f>
        <v>198614.9362893401</v>
      </c>
      <c r="E27" s="7">
        <f>SUM(E22:E26)</f>
        <v>208144</v>
      </c>
    </row>
    <row r="29" ht="12.75">
      <c r="A29" s="31" t="s">
        <v>20</v>
      </c>
    </row>
    <row r="30" spans="1:5" ht="12.75">
      <c r="A30" s="54" t="s">
        <v>234</v>
      </c>
      <c r="C30" s="6">
        <f>-'[1]Mc - BS'!$Z$59</f>
        <v>339.158</v>
      </c>
      <c r="E30" s="6">
        <v>407</v>
      </c>
    </row>
    <row r="31" spans="1:5" ht="12.75">
      <c r="A31" s="54" t="s">
        <v>22</v>
      </c>
      <c r="C31" s="6">
        <f>-'[1]Mc - BS'!$Z$79</f>
        <v>189512.03</v>
      </c>
      <c r="E31" s="6">
        <v>190588</v>
      </c>
    </row>
    <row r="32" spans="1:5" ht="12.75">
      <c r="A32" s="54" t="s">
        <v>23</v>
      </c>
      <c r="C32" s="6">
        <f>-'[1]Mc - BS'!$Z$78</f>
        <v>16769.54</v>
      </c>
      <c r="E32" s="6">
        <v>19215</v>
      </c>
    </row>
    <row r="33" spans="1:5" ht="12.75">
      <c r="A33" s="54" t="s">
        <v>24</v>
      </c>
      <c r="C33" s="6">
        <f>-'[1]Mc - BS'!$Z$65</f>
        <v>388820.8586548223</v>
      </c>
      <c r="E33" s="6">
        <v>334841</v>
      </c>
    </row>
    <row r="34" spans="1:5" ht="12.75">
      <c r="A34" s="54" t="s">
        <v>235</v>
      </c>
      <c r="C34" s="6">
        <f>-'[1]Mc - BS'!$Z$77</f>
        <v>645178.9443959391</v>
      </c>
      <c r="E34" s="6">
        <v>628753</v>
      </c>
    </row>
    <row r="35" spans="1:5" ht="12.75">
      <c r="A35" s="54" t="s">
        <v>25</v>
      </c>
      <c r="C35" s="6">
        <f>-'[1]Mc - BS'!$Z$80</f>
        <v>21357.62550253807</v>
      </c>
      <c r="E35" s="6">
        <v>19569</v>
      </c>
    </row>
    <row r="36" spans="3:5" ht="12.75">
      <c r="C36" s="7">
        <f>SUM(C30:C35)+1</f>
        <v>1261979.1565532996</v>
      </c>
      <c r="E36" s="7">
        <f>SUM(E30:E35)</f>
        <v>1193373</v>
      </c>
    </row>
    <row r="38" spans="1:5" ht="12.75">
      <c r="A38" s="31" t="s">
        <v>26</v>
      </c>
      <c r="C38" s="55">
        <f>C27-C36</f>
        <v>-1063364.2202639596</v>
      </c>
      <c r="E38" s="55">
        <f>E27-E36</f>
        <v>-985229</v>
      </c>
    </row>
    <row r="39" spans="3:5" ht="13.5" thickBot="1">
      <c r="C39" s="56"/>
      <c r="E39" s="56"/>
    </row>
    <row r="40" spans="3:5" ht="13.5" thickBot="1">
      <c r="C40" s="9">
        <f>C19+C38+1</f>
        <v>-217933.68749238597</v>
      </c>
      <c r="E40" s="9">
        <f>E19+E38</f>
        <v>-138770</v>
      </c>
    </row>
    <row r="42" ht="12.75">
      <c r="A42" s="31" t="s">
        <v>27</v>
      </c>
    </row>
    <row r="43" spans="1:5" ht="12.75">
      <c r="A43" s="54" t="s">
        <v>28</v>
      </c>
      <c r="C43" s="6">
        <f>-'[1]Mc - BS'!$Z$85+1</f>
        <v>392683.0752639594</v>
      </c>
      <c r="E43" s="6">
        <f>392683</f>
        <v>392683</v>
      </c>
    </row>
    <row r="44" spans="1:5" ht="12.75">
      <c r="A44" s="54" t="s">
        <v>29</v>
      </c>
      <c r="C44" s="6">
        <f>-'[1]Mc - BS'!$Z$92-1</f>
        <v>241489.50493850987</v>
      </c>
      <c r="E44" s="6">
        <v>227775</v>
      </c>
    </row>
    <row r="45" spans="1:5" ht="12.75">
      <c r="A45" s="54" t="s">
        <v>30</v>
      </c>
      <c r="C45" s="37">
        <f>-'[1]Mc - BS'!$Z$94</f>
        <v>-943701.67084533</v>
      </c>
      <c r="E45" s="37">
        <v>-850000</v>
      </c>
    </row>
    <row r="46" spans="1:5" ht="12.75">
      <c r="A46" s="54" t="s">
        <v>31</v>
      </c>
      <c r="C46" s="6">
        <f>SUM(C43:C45)</f>
        <v>-309529.09064286074</v>
      </c>
      <c r="E46" s="6">
        <f>SUM(E43:E45)</f>
        <v>-229542</v>
      </c>
    </row>
    <row r="47" spans="1:5" ht="12.75">
      <c r="A47" s="54" t="s">
        <v>32</v>
      </c>
      <c r="C47" s="6">
        <f>-'[1]Mc - BS'!$Z$98</f>
        <v>60329.22945446701</v>
      </c>
      <c r="E47" s="6">
        <v>77197</v>
      </c>
    </row>
    <row r="48" spans="3:5" ht="12.75">
      <c r="C48" s="7">
        <f>SUM(C46:C47)</f>
        <v>-249199.86118839373</v>
      </c>
      <c r="E48" s="7">
        <f>SUM(E46:E47)</f>
        <v>-152345</v>
      </c>
    </row>
    <row r="50" spans="1:5" ht="12.75">
      <c r="A50" s="54" t="s">
        <v>33</v>
      </c>
      <c r="C50" s="6">
        <f>-'[1]Mc - BS'!$Z$102-1</f>
        <v>241.679</v>
      </c>
      <c r="E50" s="6">
        <v>300</v>
      </c>
    </row>
    <row r="51" spans="1:5" ht="12.75">
      <c r="A51" s="54" t="s">
        <v>21</v>
      </c>
      <c r="C51" s="6">
        <f>-'[1]Mc - BS'!$Z$104</f>
        <v>6901.522842639593</v>
      </c>
      <c r="E51" s="6">
        <v>4743</v>
      </c>
    </row>
    <row r="52" spans="1:5" ht="12.75">
      <c r="A52" s="54" t="s">
        <v>34</v>
      </c>
      <c r="C52" s="37">
        <f>-'[1]Mc - BS'!$Z$105</f>
        <v>24121.97438071066</v>
      </c>
      <c r="E52" s="37">
        <v>8532</v>
      </c>
    </row>
    <row r="53" spans="1:5" ht="12.75">
      <c r="A53" s="54" t="s">
        <v>35</v>
      </c>
      <c r="C53" s="6">
        <f>SUM(C50:C52)+1</f>
        <v>31266.176223350252</v>
      </c>
      <c r="E53" s="6">
        <f>SUM(E50:E52)</f>
        <v>13575</v>
      </c>
    </row>
    <row r="54" spans="3:5" ht="13.5" thickBot="1">
      <c r="C54" s="56"/>
      <c r="E54" s="56"/>
    </row>
    <row r="55" spans="3:5" ht="13.5" thickBot="1">
      <c r="C55" s="57">
        <f>C48+C53</f>
        <v>-217933.68496504347</v>
      </c>
      <c r="E55" s="57">
        <f>E48+E53</f>
        <v>-138770</v>
      </c>
    </row>
    <row r="59" spans="1:5" ht="25.5" customHeight="1">
      <c r="A59" s="59" t="s">
        <v>263</v>
      </c>
      <c r="B59" s="59"/>
      <c r="C59" s="59"/>
      <c r="D59" s="59"/>
      <c r="E59" s="59"/>
    </row>
  </sheetData>
  <mergeCells count="5">
    <mergeCell ref="A59:E59"/>
    <mergeCell ref="A1:E1"/>
    <mergeCell ref="A2:E2"/>
    <mergeCell ref="A3:E3"/>
    <mergeCell ref="A5:E5"/>
  </mergeCells>
  <printOptions/>
  <pageMargins left="1" right="1" top="1" bottom="1" header="0.5" footer="0.5"/>
  <pageSetup fitToHeight="1" fitToWidth="1" horizontalDpi="600" verticalDpi="600" orientation="portrait" scale="85" r:id="rId1"/>
</worksheet>
</file>

<file path=xl/worksheets/sheet2.xml><?xml version="1.0" encoding="utf-8"?>
<worksheet xmlns="http://schemas.openxmlformats.org/spreadsheetml/2006/main" xmlns:r="http://schemas.openxmlformats.org/officeDocument/2006/relationships">
  <sheetPr>
    <pageSetUpPr fitToPage="1"/>
  </sheetPr>
  <dimension ref="A2:J61"/>
  <sheetViews>
    <sheetView zoomScale="75" zoomScaleNormal="75" workbookViewId="0" topLeftCell="A50">
      <selection activeCell="A53" sqref="A53:J53"/>
    </sheetView>
  </sheetViews>
  <sheetFormatPr defaultColWidth="9.140625" defaultRowHeight="12.75"/>
  <cols>
    <col min="1" max="1" width="30.421875" style="2" customWidth="1"/>
    <col min="2" max="2" width="1.1484375" style="2" customWidth="1"/>
    <col min="3" max="3" width="16.140625" style="2" customWidth="1"/>
    <col min="4" max="4" width="1.28515625" style="2" customWidth="1"/>
    <col min="5" max="5" width="17.140625" style="2" bestFit="1" customWidth="1"/>
    <col min="6" max="6" width="1.1484375" style="2" customWidth="1"/>
    <col min="7" max="7" width="17.7109375" style="2" bestFit="1" customWidth="1"/>
    <col min="8" max="8" width="0.9921875" style="2" customWidth="1"/>
    <col min="9" max="9" width="17.140625" style="2" bestFit="1" customWidth="1"/>
    <col min="10" max="10" width="8.28125" style="2" customWidth="1"/>
    <col min="11" max="11" width="1.421875" style="2" customWidth="1"/>
    <col min="12" max="16384" width="8.28125" style="2" customWidth="1"/>
  </cols>
  <sheetData>
    <row r="2" spans="1:9" ht="12.75">
      <c r="A2" s="62" t="s">
        <v>36</v>
      </c>
      <c r="B2" s="62"/>
      <c r="C2" s="62"/>
      <c r="D2" s="62"/>
      <c r="E2" s="62"/>
      <c r="F2" s="62"/>
      <c r="G2" s="62"/>
      <c r="H2" s="62"/>
      <c r="I2" s="62"/>
    </row>
    <row r="5" spans="3:9" ht="12.75">
      <c r="C5" s="63" t="s">
        <v>37</v>
      </c>
      <c r="D5" s="63"/>
      <c r="E5" s="63"/>
      <c r="G5" s="63" t="s">
        <v>38</v>
      </c>
      <c r="H5" s="63"/>
      <c r="I5" s="63"/>
    </row>
    <row r="6" spans="3:9" ht="12.75">
      <c r="C6" s="1"/>
      <c r="D6" s="3"/>
      <c r="E6" s="1" t="s">
        <v>39</v>
      </c>
      <c r="G6" s="1"/>
      <c r="H6" s="3"/>
      <c r="I6" s="1" t="s">
        <v>39</v>
      </c>
    </row>
    <row r="7" spans="3:9" ht="12.75">
      <c r="C7" s="1" t="s">
        <v>40</v>
      </c>
      <c r="D7" s="3"/>
      <c r="E7" s="1" t="s">
        <v>41</v>
      </c>
      <c r="G7" s="1" t="s">
        <v>42</v>
      </c>
      <c r="H7" s="3"/>
      <c r="I7" s="1" t="s">
        <v>41</v>
      </c>
    </row>
    <row r="8" spans="3:9" ht="12.75">
      <c r="C8" s="1" t="s">
        <v>43</v>
      </c>
      <c r="D8" s="3"/>
      <c r="E8" s="1" t="s">
        <v>43</v>
      </c>
      <c r="G8" s="1" t="s">
        <v>44</v>
      </c>
      <c r="H8" s="3"/>
      <c r="I8" s="1" t="s">
        <v>45</v>
      </c>
    </row>
    <row r="9" spans="3:9" ht="12.75">
      <c r="C9" s="12" t="s">
        <v>46</v>
      </c>
      <c r="D9" s="3"/>
      <c r="E9" s="12" t="s">
        <v>47</v>
      </c>
      <c r="G9" s="12" t="s">
        <v>46</v>
      </c>
      <c r="H9" s="3"/>
      <c r="I9" s="12" t="s">
        <v>47</v>
      </c>
    </row>
    <row r="10" spans="3:9" ht="12.75">
      <c r="C10" s="1" t="s">
        <v>7</v>
      </c>
      <c r="E10" s="1" t="s">
        <v>7</v>
      </c>
      <c r="G10" s="1" t="s">
        <v>7</v>
      </c>
      <c r="I10" s="1" t="s">
        <v>7</v>
      </c>
    </row>
    <row r="12" spans="1:9" ht="12.75">
      <c r="A12" s="2" t="s">
        <v>49</v>
      </c>
      <c r="C12" s="14">
        <v>91693</v>
      </c>
      <c r="D12" s="14"/>
      <c r="E12" s="14">
        <v>62869</v>
      </c>
      <c r="F12" s="14"/>
      <c r="G12" s="14">
        <f>'[1]Mc - PL'!Y8</f>
        <v>276661.3252335025</v>
      </c>
      <c r="H12" s="14"/>
      <c r="I12" s="14">
        <v>277166</v>
      </c>
    </row>
    <row r="13" spans="3:9" ht="12.75">
      <c r="C13" s="14"/>
      <c r="D13" s="14"/>
      <c r="E13" s="14"/>
      <c r="F13" s="14"/>
      <c r="G13" s="14"/>
      <c r="H13" s="14"/>
      <c r="I13" s="14"/>
    </row>
    <row r="14" spans="1:9" ht="12.75">
      <c r="A14" s="2" t="s">
        <v>50</v>
      </c>
      <c r="C14" s="14">
        <v>-124081</v>
      </c>
      <c r="D14" s="14"/>
      <c r="E14" s="14">
        <v>-94160</v>
      </c>
      <c r="F14" s="14"/>
      <c r="G14" s="15">
        <f>('[1]Mc - PL'!$Y$12+'[1]Mc - PL'!$Y$13+'[1]Mc - PL'!$Y$14+'[1]Mc - PL'!$Y$15+'[1]Mc - PL'!$Y$16+'[1]Mc - PL'!$Y$17+'[1]Mc - PL'!$Y$18+'[1]Mc - PL'!$Y$19+'[1]Mc - PL'!$Y$20)</f>
        <v>-319383.24926395935</v>
      </c>
      <c r="H14" s="14"/>
      <c r="I14" s="14">
        <v>-307511</v>
      </c>
    </row>
    <row r="15" spans="3:9" ht="12.75">
      <c r="C15" s="14"/>
      <c r="D15" s="14"/>
      <c r="E15" s="14"/>
      <c r="F15" s="14"/>
      <c r="G15" s="14"/>
      <c r="H15" s="14"/>
      <c r="I15" s="14"/>
    </row>
    <row r="16" spans="1:9" ht="12.75">
      <c r="A16" s="2" t="s">
        <v>51</v>
      </c>
      <c r="C16" s="14">
        <v>2156</v>
      </c>
      <c r="D16" s="14"/>
      <c r="E16" s="14">
        <v>8007</v>
      </c>
      <c r="F16" s="14"/>
      <c r="G16" s="15">
        <f>'[1]Mc - PL'!Y10</f>
        <v>5382.247852791877</v>
      </c>
      <c r="H16" s="14"/>
      <c r="I16" s="14">
        <v>9848</v>
      </c>
    </row>
    <row r="17" spans="3:9" ht="12.75">
      <c r="C17" s="16"/>
      <c r="D17" s="14"/>
      <c r="E17" s="16"/>
      <c r="F17" s="14"/>
      <c r="G17" s="16"/>
      <c r="H17" s="14"/>
      <c r="I17" s="16"/>
    </row>
    <row r="18" spans="3:9" ht="12.75">
      <c r="C18" s="14"/>
      <c r="D18" s="14"/>
      <c r="E18" s="14"/>
      <c r="F18" s="14"/>
      <c r="G18" s="14"/>
      <c r="H18" s="14"/>
      <c r="I18" s="14"/>
    </row>
    <row r="19" spans="1:9" ht="12.75">
      <c r="A19" s="2" t="s">
        <v>227</v>
      </c>
      <c r="C19" s="14">
        <f>SUM(C12:C18)</f>
        <v>-30232</v>
      </c>
      <c r="D19" s="14"/>
      <c r="E19" s="14">
        <f>SUM(E12:E18)</f>
        <v>-23284</v>
      </c>
      <c r="F19" s="14"/>
      <c r="G19" s="14">
        <f>SUM(G12:G18)</f>
        <v>-37339.67617766499</v>
      </c>
      <c r="H19" s="14"/>
      <c r="I19" s="14">
        <f>SUM(I12:I18)</f>
        <v>-20497</v>
      </c>
    </row>
    <row r="20" spans="3:9" ht="12.75">
      <c r="C20" s="14"/>
      <c r="D20" s="14"/>
      <c r="E20" s="14"/>
      <c r="F20" s="14"/>
      <c r="G20" s="14"/>
      <c r="H20" s="14"/>
      <c r="I20" s="14"/>
    </row>
    <row r="21" spans="1:9" ht="12.75">
      <c r="A21" s="2" t="s">
        <v>52</v>
      </c>
      <c r="C21" s="14">
        <v>-10625</v>
      </c>
      <c r="D21" s="14"/>
      <c r="E21" s="14">
        <v>-10727</v>
      </c>
      <c r="F21" s="14"/>
      <c r="G21" s="15">
        <f>'[1]Mc - PL'!Y26</f>
        <v>-58055.296131979696</v>
      </c>
      <c r="H21" s="14"/>
      <c r="I21" s="14">
        <v>-63763</v>
      </c>
    </row>
    <row r="22" spans="3:9" ht="12.75">
      <c r="C22" s="14"/>
      <c r="D22" s="14"/>
      <c r="E22" s="14"/>
      <c r="F22" s="14"/>
      <c r="G22" s="14"/>
      <c r="H22" s="14"/>
      <c r="I22" s="14"/>
    </row>
    <row r="23" spans="1:9" ht="12.75">
      <c r="A23" s="2" t="s">
        <v>53</v>
      </c>
      <c r="C23" s="14">
        <v>-435</v>
      </c>
      <c r="D23" s="14"/>
      <c r="E23" s="14">
        <v>0</v>
      </c>
      <c r="F23" s="14"/>
      <c r="G23" s="15">
        <f>'[1]Mc - PL'!Y11</f>
        <v>-144.987</v>
      </c>
      <c r="H23" s="14"/>
      <c r="I23" s="14">
        <v>6947</v>
      </c>
    </row>
    <row r="24" spans="3:9" ht="12.75">
      <c r="C24" s="16"/>
      <c r="D24" s="14"/>
      <c r="E24" s="16"/>
      <c r="F24" s="14"/>
      <c r="G24" s="16"/>
      <c r="H24" s="14"/>
      <c r="I24" s="16"/>
    </row>
    <row r="25" spans="3:9" ht="12.75">
      <c r="C25" s="14"/>
      <c r="D25" s="14"/>
      <c r="E25" s="14"/>
      <c r="F25" s="14"/>
      <c r="G25" s="14"/>
      <c r="H25" s="14"/>
      <c r="I25" s="14"/>
    </row>
    <row r="26" spans="1:9" ht="12.75">
      <c r="A26" s="2" t="s">
        <v>54</v>
      </c>
      <c r="C26" s="15">
        <f>SUM(C19:C25)</f>
        <v>-41292</v>
      </c>
      <c r="D26" s="14"/>
      <c r="E26" s="14">
        <f>SUM(E19:E25)</f>
        <v>-34011</v>
      </c>
      <c r="F26" s="14"/>
      <c r="G26" s="15">
        <f>SUM(G19:G25)</f>
        <v>-95539.95930964468</v>
      </c>
      <c r="H26" s="14"/>
      <c r="I26" s="14">
        <f>SUM(I19:I25)</f>
        <v>-77313</v>
      </c>
    </row>
    <row r="27" spans="3:9" ht="12.75">
      <c r="C27" s="14"/>
      <c r="D27" s="14"/>
      <c r="E27" s="14"/>
      <c r="F27" s="14"/>
      <c r="G27" s="15"/>
      <c r="H27" s="14"/>
      <c r="I27" s="14"/>
    </row>
    <row r="28" spans="1:9" ht="12.75">
      <c r="A28" s="2" t="s">
        <v>25</v>
      </c>
      <c r="C28" s="14">
        <v>-5571</v>
      </c>
      <c r="D28" s="14"/>
      <c r="E28" s="14">
        <v>-15303</v>
      </c>
      <c r="F28" s="14"/>
      <c r="G28" s="15">
        <f>'[1]Mc - PL'!$Y$30+'[1]Mc - PL'!$Y$31</f>
        <v>-6313.8470101522835</v>
      </c>
      <c r="H28" s="14"/>
      <c r="I28" s="14">
        <v>-17906</v>
      </c>
    </row>
    <row r="29" spans="3:9" ht="12.75">
      <c r="C29" s="16"/>
      <c r="D29" s="14"/>
      <c r="E29" s="16"/>
      <c r="F29" s="14"/>
      <c r="G29" s="16"/>
      <c r="H29" s="14"/>
      <c r="I29" s="16"/>
    </row>
    <row r="30" spans="3:9" ht="12.75">
      <c r="C30" s="14"/>
      <c r="D30" s="14"/>
      <c r="E30" s="14"/>
      <c r="F30" s="14"/>
      <c r="G30" s="14"/>
      <c r="H30" s="14"/>
      <c r="I30" s="14"/>
    </row>
    <row r="31" spans="1:9" ht="12.75">
      <c r="A31" s="2" t="s">
        <v>55</v>
      </c>
      <c r="C31" s="14">
        <f>SUM(C26:C30)</f>
        <v>-46863</v>
      </c>
      <c r="D31" s="14"/>
      <c r="E31" s="14">
        <f>SUM(E26:E30)</f>
        <v>-49314</v>
      </c>
      <c r="F31" s="14"/>
      <c r="G31" s="14">
        <f>SUM(G26:G30)</f>
        <v>-101853.80631979696</v>
      </c>
      <c r="H31" s="14"/>
      <c r="I31" s="14">
        <f>SUM(I26:I30)</f>
        <v>-95219</v>
      </c>
    </row>
    <row r="32" spans="3:9" ht="12.75">
      <c r="C32" s="14"/>
      <c r="D32" s="14"/>
      <c r="E32" s="14"/>
      <c r="F32" s="14"/>
      <c r="G32" s="14"/>
      <c r="H32" s="14"/>
      <c r="I32" s="14"/>
    </row>
    <row r="33" spans="1:9" ht="12.75">
      <c r="A33" s="2" t="s">
        <v>32</v>
      </c>
      <c r="C33" s="14">
        <v>15594</v>
      </c>
      <c r="D33" s="14"/>
      <c r="E33" s="14">
        <v>-597</v>
      </c>
      <c r="F33" s="14"/>
      <c r="G33" s="14">
        <f>'[1]Mc - PL'!$Y$35</f>
        <v>24606.43177395939</v>
      </c>
      <c r="H33" s="14"/>
      <c r="I33" s="14">
        <v>3122</v>
      </c>
    </row>
    <row r="34" spans="3:9" ht="12.75">
      <c r="C34" s="16"/>
      <c r="D34" s="14"/>
      <c r="E34" s="16"/>
      <c r="F34" s="14"/>
      <c r="G34" s="16"/>
      <c r="H34" s="14"/>
      <c r="I34" s="16"/>
    </row>
    <row r="35" spans="3:9" ht="12.75">
      <c r="C35" s="14"/>
      <c r="D35" s="14"/>
      <c r="E35" s="14"/>
      <c r="F35" s="14"/>
      <c r="G35" s="14"/>
      <c r="H35" s="14"/>
      <c r="I35" s="14"/>
    </row>
    <row r="36" spans="1:9" ht="12.75">
      <c r="A36" s="2" t="s">
        <v>56</v>
      </c>
      <c r="C36" s="14">
        <f>SUM(C31:C35)</f>
        <v>-31269</v>
      </c>
      <c r="D36" s="14"/>
      <c r="E36" s="15">
        <f>SUM(E31:E35)</f>
        <v>-49911</v>
      </c>
      <c r="F36" s="14"/>
      <c r="G36" s="14">
        <f>SUM(G31:G35)-1</f>
        <v>-77248.37454583758</v>
      </c>
      <c r="H36" s="14"/>
      <c r="I36" s="15">
        <f>SUM(I31:I35)</f>
        <v>-92097</v>
      </c>
    </row>
    <row r="37" spans="3:9" ht="13.5" thickBot="1">
      <c r="C37" s="8"/>
      <c r="E37" s="8"/>
      <c r="G37" s="8"/>
      <c r="I37" s="8"/>
    </row>
    <row r="43" ht="12.75">
      <c r="A43" s="3" t="s">
        <v>57</v>
      </c>
    </row>
    <row r="45" spans="1:9" ht="12.75">
      <c r="A45" s="2" t="s">
        <v>58</v>
      </c>
      <c r="C45" s="17">
        <f>(C36/392683)*100</f>
        <v>-7.962911559705921</v>
      </c>
      <c r="E45" s="17">
        <f>(E36/392683)*100</f>
        <v>-12.7102522900151</v>
      </c>
      <c r="G45" s="17">
        <f>(G36/392683)*100</f>
        <v>-19.671942647335786</v>
      </c>
      <c r="I45" s="17">
        <f>(I36/392683)*100</f>
        <v>-23.453268921751132</v>
      </c>
    </row>
    <row r="47" spans="1:9" ht="12.75">
      <c r="A47" s="2" t="s">
        <v>59</v>
      </c>
      <c r="C47" s="18" t="s">
        <v>60</v>
      </c>
      <c r="E47" s="18" t="s">
        <v>60</v>
      </c>
      <c r="G47" s="18" t="s">
        <v>60</v>
      </c>
      <c r="I47" s="18" t="s">
        <v>60</v>
      </c>
    </row>
    <row r="52" spans="1:9" ht="25.5" customHeight="1">
      <c r="A52" s="64" t="s">
        <v>262</v>
      </c>
      <c r="B52" s="64"/>
      <c r="C52" s="64"/>
      <c r="D52" s="64"/>
      <c r="E52" s="64"/>
      <c r="F52" s="64"/>
      <c r="G52" s="64"/>
      <c r="H52" s="64"/>
      <c r="I52" s="64"/>
    </row>
    <row r="53" spans="1:10" ht="12.75">
      <c r="A53" s="61" t="s">
        <v>61</v>
      </c>
      <c r="B53" s="61"/>
      <c r="C53" s="61"/>
      <c r="D53" s="61"/>
      <c r="E53" s="61"/>
      <c r="F53" s="61"/>
      <c r="G53" s="61"/>
      <c r="H53" s="61"/>
      <c r="I53" s="61"/>
      <c r="J53" s="61"/>
    </row>
    <row r="59" spans="2:10" ht="12.75">
      <c r="B59" s="19"/>
      <c r="C59" s="19"/>
      <c r="D59" s="19"/>
      <c r="E59" s="19"/>
      <c r="F59" s="19"/>
      <c r="G59" s="19"/>
      <c r="H59" s="19"/>
      <c r="I59" s="19"/>
      <c r="J59" s="19"/>
    </row>
    <row r="61" spans="2:10" ht="12.75">
      <c r="B61" s="19"/>
      <c r="C61" s="19"/>
      <c r="D61" s="19"/>
      <c r="E61" s="19"/>
      <c r="F61" s="19"/>
      <c r="G61" s="19"/>
      <c r="H61" s="19"/>
      <c r="I61" s="19"/>
      <c r="J61" s="19"/>
    </row>
  </sheetData>
  <mergeCells count="5">
    <mergeCell ref="A53:J53"/>
    <mergeCell ref="A2:I2"/>
    <mergeCell ref="C5:E5"/>
    <mergeCell ref="G5:I5"/>
    <mergeCell ref="A52:I52"/>
  </mergeCells>
  <printOptions/>
  <pageMargins left="1" right="1" top="1" bottom="1" header="0.5" footer="0.5"/>
  <pageSetup fitToHeight="1" fitToWidth="1"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1:F55"/>
  <sheetViews>
    <sheetView workbookViewId="0" topLeftCell="A46">
      <selection activeCell="A1" sqref="A1:F54"/>
    </sheetView>
  </sheetViews>
  <sheetFormatPr defaultColWidth="9.140625" defaultRowHeight="12.75"/>
  <cols>
    <col min="1" max="2" width="0.9921875" style="2" customWidth="1"/>
    <col min="3" max="3" width="66.57421875" style="2" customWidth="1"/>
    <col min="4" max="4" width="14.28125" style="2" customWidth="1"/>
    <col min="5" max="5" width="2.7109375" style="2" customWidth="1"/>
    <col min="6" max="6" width="16.57421875" style="2" customWidth="1"/>
    <col min="7" max="16384" width="3.28125" style="2" customWidth="1"/>
  </cols>
  <sheetData>
    <row r="1" spans="1:2" ht="12.75">
      <c r="A1" s="3" t="s">
        <v>239</v>
      </c>
      <c r="B1" s="3"/>
    </row>
    <row r="2" spans="1:2" ht="12.75">
      <c r="A2" s="3"/>
      <c r="B2" s="3"/>
    </row>
    <row r="3" spans="1:2" ht="12.75">
      <c r="A3" s="3"/>
      <c r="B3" s="3"/>
    </row>
    <row r="5" spans="4:6" ht="12.75">
      <c r="D5" s="1" t="s">
        <v>195</v>
      </c>
      <c r="E5" s="1"/>
      <c r="F5" s="1" t="s">
        <v>195</v>
      </c>
    </row>
    <row r="6" spans="4:6" ht="12.75">
      <c r="D6" s="50" t="s">
        <v>46</v>
      </c>
      <c r="E6" s="50"/>
      <c r="F6" s="50" t="s">
        <v>47</v>
      </c>
    </row>
    <row r="7" spans="4:6" ht="12.75">
      <c r="D7" s="1" t="s">
        <v>7</v>
      </c>
      <c r="E7" s="1"/>
      <c r="F7" s="1" t="s">
        <v>7</v>
      </c>
    </row>
    <row r="9" spans="1:2" ht="12.75">
      <c r="A9" s="3" t="s">
        <v>196</v>
      </c>
      <c r="B9" s="3"/>
    </row>
    <row r="10" spans="2:6" ht="12.75">
      <c r="B10" s="2" t="s">
        <v>54</v>
      </c>
      <c r="D10" s="4">
        <f>-92850-2690</f>
        <v>-95540</v>
      </c>
      <c r="E10" s="4"/>
      <c r="F10" s="4">
        <v>-77313</v>
      </c>
    </row>
    <row r="11" spans="2:6" ht="12.75">
      <c r="B11" s="2" t="s">
        <v>197</v>
      </c>
      <c r="D11" s="4"/>
      <c r="E11" s="4"/>
      <c r="F11" s="4"/>
    </row>
    <row r="12" spans="3:6" ht="12.75">
      <c r="C12" s="2" t="s">
        <v>198</v>
      </c>
      <c r="D12" s="4">
        <v>-2856</v>
      </c>
      <c r="E12" s="4"/>
      <c r="F12" s="4">
        <v>-8418</v>
      </c>
    </row>
    <row r="13" spans="3:6" ht="12.75">
      <c r="C13" s="2" t="s">
        <v>199</v>
      </c>
      <c r="D13" s="4">
        <v>17262</v>
      </c>
      <c r="E13" s="4"/>
      <c r="F13" s="4">
        <v>18574</v>
      </c>
    </row>
    <row r="14" spans="3:6" ht="12.75">
      <c r="C14" s="2" t="s">
        <v>260</v>
      </c>
      <c r="D14" s="4">
        <v>145</v>
      </c>
      <c r="E14" s="4"/>
      <c r="F14" s="4">
        <v>-6947</v>
      </c>
    </row>
    <row r="15" spans="3:6" ht="12.75">
      <c r="C15" s="2" t="s">
        <v>200</v>
      </c>
      <c r="D15" s="4">
        <v>59253</v>
      </c>
      <c r="E15" s="4"/>
      <c r="F15" s="4">
        <v>64595</v>
      </c>
    </row>
    <row r="16" spans="3:6" ht="12.75">
      <c r="C16" s="2" t="s">
        <v>201</v>
      </c>
      <c r="D16" s="4">
        <v>-1198</v>
      </c>
      <c r="E16" s="4"/>
      <c r="F16" s="4">
        <v>-832</v>
      </c>
    </row>
    <row r="17" spans="3:6" ht="12.75">
      <c r="C17" s="2" t="s">
        <v>202</v>
      </c>
      <c r="D17" s="4">
        <v>14</v>
      </c>
      <c r="E17" s="4"/>
      <c r="F17" s="4">
        <v>29832</v>
      </c>
    </row>
    <row r="18" spans="3:6" ht="12.75">
      <c r="C18" s="2" t="s">
        <v>256</v>
      </c>
      <c r="D18" s="10">
        <f>900+2690</f>
        <v>3590</v>
      </c>
      <c r="E18" s="4"/>
      <c r="F18" s="10">
        <v>2926</v>
      </c>
    </row>
    <row r="19" spans="2:6" ht="12.75">
      <c r="B19" s="2" t="s">
        <v>259</v>
      </c>
      <c r="D19" s="4">
        <f>SUM(D10:D18)</f>
        <v>-19330</v>
      </c>
      <c r="E19" s="4"/>
      <c r="F19" s="4">
        <f>SUM(F10:F18)</f>
        <v>22417</v>
      </c>
    </row>
    <row r="20" spans="3:6" ht="12.75">
      <c r="C20" s="2" t="s">
        <v>240</v>
      </c>
      <c r="D20" s="10">
        <f>35194-1</f>
        <v>35193</v>
      </c>
      <c r="E20" s="22"/>
      <c r="F20" s="10">
        <v>-3658</v>
      </c>
    </row>
    <row r="21" spans="2:6" ht="12.75">
      <c r="B21" s="2" t="s">
        <v>203</v>
      </c>
      <c r="D21" s="4">
        <f>SUM(D19:D20)</f>
        <v>15863</v>
      </c>
      <c r="E21" s="4"/>
      <c r="F21" s="4">
        <f>SUM(F19:F20)</f>
        <v>18759</v>
      </c>
    </row>
    <row r="22" spans="3:6" ht="12.75">
      <c r="C22" s="2" t="s">
        <v>204</v>
      </c>
      <c r="D22" s="4">
        <v>-6107</v>
      </c>
      <c r="E22" s="4"/>
      <c r="F22" s="4">
        <v>-3314</v>
      </c>
    </row>
    <row r="23" spans="3:6" ht="12.75">
      <c r="C23" s="2" t="s">
        <v>205</v>
      </c>
      <c r="D23" s="10">
        <v>-10729</v>
      </c>
      <c r="E23" s="22"/>
      <c r="F23" s="22">
        <v>-8477</v>
      </c>
    </row>
    <row r="24" spans="2:6" ht="12.75">
      <c r="B24" s="2" t="s">
        <v>241</v>
      </c>
      <c r="D24" s="5">
        <f>SUM(D21:D23)</f>
        <v>-973</v>
      </c>
      <c r="E24" s="22"/>
      <c r="F24" s="5">
        <f>SUM(F21:F23)</f>
        <v>6968</v>
      </c>
    </row>
    <row r="26" ht="12.75">
      <c r="A26" s="3" t="s">
        <v>206</v>
      </c>
    </row>
    <row r="27" spans="3:6" ht="12.75">
      <c r="C27" s="2" t="s">
        <v>242</v>
      </c>
      <c r="D27" s="4">
        <v>-295</v>
      </c>
      <c r="E27" s="4"/>
      <c r="F27" s="4">
        <v>372</v>
      </c>
    </row>
    <row r="28" spans="3:6" ht="12.75">
      <c r="C28" s="2" t="s">
        <v>207</v>
      </c>
      <c r="D28" s="4">
        <f>-1346-772</f>
        <v>-2118</v>
      </c>
      <c r="E28" s="4"/>
      <c r="F28" s="4">
        <v>-2849</v>
      </c>
    </row>
    <row r="29" spans="3:6" ht="12.75">
      <c r="C29" s="2" t="s">
        <v>208</v>
      </c>
      <c r="D29" s="4">
        <f>'[4]Mc '!$Y$55</f>
        <v>0</v>
      </c>
      <c r="E29" s="4"/>
      <c r="F29" s="4">
        <v>322</v>
      </c>
    </row>
    <row r="30" spans="3:6" ht="12.75">
      <c r="C30" s="2" t="s">
        <v>209</v>
      </c>
      <c r="D30" s="4">
        <f>290+120</f>
        <v>410</v>
      </c>
      <c r="E30" s="4"/>
      <c r="F30" s="4">
        <v>6947</v>
      </c>
    </row>
    <row r="31" spans="3:6" ht="12.75">
      <c r="C31" s="2" t="s">
        <v>210</v>
      </c>
      <c r="D31" s="4">
        <v>1409</v>
      </c>
      <c r="E31" s="4"/>
      <c r="F31" s="4">
        <v>3642</v>
      </c>
    </row>
    <row r="32" spans="3:6" ht="12.75">
      <c r="C32" s="2" t="s">
        <v>211</v>
      </c>
      <c r="D32" s="4">
        <v>-4752</v>
      </c>
      <c r="E32" s="4"/>
      <c r="F32" s="4">
        <v>-7763</v>
      </c>
    </row>
    <row r="33" spans="3:6" ht="12.75">
      <c r="C33" s="2" t="s">
        <v>212</v>
      </c>
      <c r="D33" s="4">
        <f>'[4]Mc '!$Y$54</f>
        <v>1197.903</v>
      </c>
      <c r="E33" s="4"/>
      <c r="F33" s="4">
        <v>720</v>
      </c>
    </row>
    <row r="34" spans="2:6" ht="12.75">
      <c r="B34" s="2" t="s">
        <v>238</v>
      </c>
      <c r="D34" s="5">
        <f>SUM(D27:D33)</f>
        <v>-4148.097</v>
      </c>
      <c r="E34" s="22"/>
      <c r="F34" s="5">
        <f>SUM(F27:F33)</f>
        <v>1391</v>
      </c>
    </row>
    <row r="36" ht="12.75">
      <c r="A36" s="3" t="s">
        <v>213</v>
      </c>
    </row>
    <row r="37" spans="1:6" ht="12.75">
      <c r="A37" s="3"/>
      <c r="C37" s="2" t="s">
        <v>243</v>
      </c>
      <c r="D37" s="4">
        <v>-31740</v>
      </c>
      <c r="F37" s="4">
        <v>0</v>
      </c>
    </row>
    <row r="38" spans="3:6" ht="12.75">
      <c r="C38" s="2" t="s">
        <v>214</v>
      </c>
      <c r="D38" s="4">
        <f>-956-120</f>
        <v>-1076</v>
      </c>
      <c r="E38" s="4"/>
      <c r="F38" s="4">
        <v>-5024</v>
      </c>
    </row>
    <row r="39" spans="3:6" ht="12.75">
      <c r="C39" s="2" t="s">
        <v>215</v>
      </c>
      <c r="D39" s="4">
        <v>-810</v>
      </c>
      <c r="E39" s="4"/>
      <c r="F39" s="4">
        <v>-191</v>
      </c>
    </row>
    <row r="40" spans="3:6" ht="12.75">
      <c r="C40" s="2" t="s">
        <v>216</v>
      </c>
      <c r="D40" s="4">
        <v>-1155</v>
      </c>
      <c r="E40" s="4"/>
      <c r="F40" s="4">
        <v>138</v>
      </c>
    </row>
    <row r="41" spans="3:6" ht="12.75">
      <c r="C41" s="2" t="s">
        <v>217</v>
      </c>
      <c r="D41" s="4">
        <v>3120</v>
      </c>
      <c r="E41" s="4"/>
      <c r="F41" s="4">
        <v>11671</v>
      </c>
    </row>
    <row r="42" spans="3:6" ht="12.75">
      <c r="C42" s="2" t="s">
        <v>218</v>
      </c>
      <c r="D42" s="4">
        <v>-1411</v>
      </c>
      <c r="E42" s="4"/>
      <c r="F42" s="4">
        <v>-2323</v>
      </c>
    </row>
    <row r="43" spans="3:6" ht="12.75">
      <c r="C43" s="2" t="s">
        <v>221</v>
      </c>
      <c r="D43" s="4">
        <v>-68</v>
      </c>
      <c r="E43" s="4"/>
      <c r="F43" s="4">
        <v>-71</v>
      </c>
    </row>
    <row r="44" spans="3:6" ht="12.75">
      <c r="C44" s="2" t="s">
        <v>219</v>
      </c>
      <c r="D44" s="4">
        <v>-965</v>
      </c>
      <c r="E44" s="4"/>
      <c r="F44" s="4">
        <v>-1190</v>
      </c>
    </row>
    <row r="45" spans="3:6" ht="12.75">
      <c r="C45" s="2" t="s">
        <v>220</v>
      </c>
      <c r="D45" s="4">
        <v>-3000</v>
      </c>
      <c r="E45" s="4"/>
      <c r="F45" s="4">
        <v>-7541</v>
      </c>
    </row>
    <row r="46" spans="2:6" ht="12.75">
      <c r="B46" s="2" t="s">
        <v>222</v>
      </c>
      <c r="D46" s="5">
        <f>SUM(D37:D45)</f>
        <v>-37105</v>
      </c>
      <c r="E46" s="22"/>
      <c r="F46" s="5">
        <f>SUM(F37:F45)</f>
        <v>-4531</v>
      </c>
    </row>
    <row r="47" spans="4:6" ht="12.75">
      <c r="D47" s="51"/>
      <c r="E47" s="20"/>
      <c r="F47" s="20"/>
    </row>
    <row r="48" spans="1:6" ht="12.75">
      <c r="A48" s="3" t="s">
        <v>244</v>
      </c>
      <c r="D48" s="22">
        <f>D24+D34+D46</f>
        <v>-42226.097</v>
      </c>
      <c r="E48" s="22"/>
      <c r="F48" s="22">
        <f>F24+F34+F46</f>
        <v>3828</v>
      </c>
    </row>
    <row r="49" spans="1:6" ht="12.75">
      <c r="A49" s="3" t="s">
        <v>223</v>
      </c>
      <c r="D49" s="4">
        <f>'[4]Mc '!$Y$75</f>
        <v>1524.489</v>
      </c>
      <c r="E49" s="4"/>
      <c r="F49" s="4">
        <v>-1007</v>
      </c>
    </row>
    <row r="50" spans="1:6" ht="12.75">
      <c r="A50" s="3" t="s">
        <v>224</v>
      </c>
      <c r="D50" s="10">
        <f>'[4]Mc '!$Y$76</f>
        <v>-22528.206</v>
      </c>
      <c r="E50" s="22"/>
      <c r="F50" s="22">
        <v>-25349</v>
      </c>
    </row>
    <row r="51" spans="1:6" ht="13.5" thickBot="1">
      <c r="A51" s="3" t="s">
        <v>225</v>
      </c>
      <c r="D51" s="39">
        <f>SUM(D48:D50)</f>
        <v>-63229.814</v>
      </c>
      <c r="E51" s="22"/>
      <c r="F51" s="23">
        <f>SUM(F48:F50)</f>
        <v>-22528</v>
      </c>
    </row>
    <row r="54" spans="1:6" ht="25.5" customHeight="1">
      <c r="A54" s="64" t="s">
        <v>226</v>
      </c>
      <c r="B54" s="65"/>
      <c r="C54" s="65"/>
      <c r="D54" s="65"/>
      <c r="E54" s="65"/>
      <c r="F54" s="65"/>
    </row>
    <row r="55" spans="2:6" ht="12.75">
      <c r="B55" s="43"/>
      <c r="C55" s="43"/>
      <c r="D55" s="43"/>
      <c r="E55" s="43"/>
      <c r="F55" s="43"/>
    </row>
  </sheetData>
  <mergeCells count="1">
    <mergeCell ref="A54:F54"/>
  </mergeCells>
  <printOptions/>
  <pageMargins left="0.75" right="0.75" top="1" bottom="1" header="0.5" footer="0.5"/>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dimension ref="A2:K243"/>
  <sheetViews>
    <sheetView tabSelected="1" workbookViewId="0" topLeftCell="C178">
      <selection activeCell="C181" sqref="C181:J181"/>
    </sheetView>
  </sheetViews>
  <sheetFormatPr defaultColWidth="9.140625" defaultRowHeight="12.75"/>
  <cols>
    <col min="1" max="1" width="4.8515625" style="2" customWidth="1"/>
    <col min="2" max="2" width="3.421875" style="2" customWidth="1"/>
    <col min="3" max="3" width="34.140625" style="2" customWidth="1"/>
    <col min="4" max="4" width="10.8515625" style="2" customWidth="1"/>
    <col min="5" max="5" width="0.42578125" style="20" customWidth="1"/>
    <col min="6" max="6" width="13.421875" style="2" customWidth="1"/>
    <col min="7" max="7" width="0.42578125" style="20" customWidth="1"/>
    <col min="8" max="8" width="12.8515625" style="2" customWidth="1"/>
    <col min="9" max="9" width="0.42578125" style="20" customWidth="1"/>
    <col min="10" max="10" width="11.57421875" style="2" customWidth="1"/>
    <col min="11" max="11" width="5.140625" style="2" hidden="1" customWidth="1"/>
    <col min="12" max="12" width="0.2890625" style="2" hidden="1" customWidth="1"/>
    <col min="13" max="14" width="0.42578125" style="2" hidden="1" customWidth="1"/>
    <col min="15" max="16" width="4.7109375" style="2" customWidth="1"/>
    <col min="17" max="16384" width="0.42578125" style="2" customWidth="1"/>
  </cols>
  <sheetData>
    <row r="2" ht="12.75">
      <c r="A2" s="3" t="s">
        <v>62</v>
      </c>
    </row>
    <row r="5" spans="4:10" ht="12.75">
      <c r="D5" s="1"/>
      <c r="E5" s="21"/>
      <c r="F5" s="1" t="s">
        <v>63</v>
      </c>
      <c r="G5" s="21"/>
      <c r="H5" s="1"/>
      <c r="I5" s="21"/>
      <c r="J5" s="1"/>
    </row>
    <row r="6" spans="4:10" ht="12.75">
      <c r="D6" s="1" t="s">
        <v>64</v>
      </c>
      <c r="E6" s="21"/>
      <c r="F6" s="1" t="s">
        <v>65</v>
      </c>
      <c r="G6" s="21"/>
      <c r="H6" s="1" t="s">
        <v>66</v>
      </c>
      <c r="I6" s="21"/>
      <c r="J6" s="1"/>
    </row>
    <row r="7" spans="4:10" ht="12.75">
      <c r="D7" s="1" t="s">
        <v>67</v>
      </c>
      <c r="E7" s="21"/>
      <c r="F7" s="1" t="s">
        <v>68</v>
      </c>
      <c r="G7" s="21"/>
      <c r="H7" s="1" t="s">
        <v>69</v>
      </c>
      <c r="I7" s="21"/>
      <c r="J7" s="1" t="s">
        <v>48</v>
      </c>
    </row>
    <row r="8" spans="4:10" ht="12.75">
      <c r="D8" s="1" t="s">
        <v>7</v>
      </c>
      <c r="E8" s="21"/>
      <c r="F8" s="1" t="s">
        <v>7</v>
      </c>
      <c r="G8" s="21"/>
      <c r="H8" s="1" t="s">
        <v>7</v>
      </c>
      <c r="I8" s="21"/>
      <c r="J8" s="1" t="s">
        <v>7</v>
      </c>
    </row>
    <row r="10" spans="1:10" ht="12.75">
      <c r="A10" s="2" t="s">
        <v>229</v>
      </c>
      <c r="D10" s="4">
        <f>'[2]BS'!E43</f>
        <v>392683</v>
      </c>
      <c r="E10" s="22"/>
      <c r="F10" s="4">
        <f>'[2]BS'!E44</f>
        <v>227775</v>
      </c>
      <c r="G10" s="22"/>
      <c r="H10" s="4">
        <f>'[2]BS'!E45</f>
        <v>-850000</v>
      </c>
      <c r="I10" s="22"/>
      <c r="J10" s="4">
        <f>SUM(D10:H10)</f>
        <v>-229542</v>
      </c>
    </row>
    <row r="11" spans="1:10" ht="12.75">
      <c r="A11" s="2" t="s">
        <v>230</v>
      </c>
      <c r="D11" s="10">
        <v>0</v>
      </c>
      <c r="E11" s="22"/>
      <c r="F11" s="10">
        <v>0</v>
      </c>
      <c r="G11" s="22"/>
      <c r="H11" s="10">
        <v>-16454</v>
      </c>
      <c r="I11" s="22"/>
      <c r="J11" s="10">
        <f>SUM(D11:H11)</f>
        <v>-16454</v>
      </c>
    </row>
    <row r="12" spans="1:10" ht="12.75">
      <c r="A12" s="2" t="s">
        <v>231</v>
      </c>
      <c r="D12" s="6">
        <f>SUM(D10:D11)</f>
        <v>392683</v>
      </c>
      <c r="E12" s="52"/>
      <c r="F12" s="6">
        <f>SUM(F10:F11)</f>
        <v>227775</v>
      </c>
      <c r="G12" s="52"/>
      <c r="H12" s="6">
        <f>SUM(H10:H11)</f>
        <v>-866454</v>
      </c>
      <c r="I12" s="52"/>
      <c r="J12" s="6">
        <f>SUM(J10:J11)</f>
        <v>-245996</v>
      </c>
    </row>
    <row r="13" spans="1:10" ht="12.75">
      <c r="A13" s="2" t="s">
        <v>70</v>
      </c>
      <c r="D13" s="4">
        <v>0</v>
      </c>
      <c r="E13" s="22"/>
      <c r="F13" s="4">
        <v>13715</v>
      </c>
      <c r="G13" s="22"/>
      <c r="H13" s="4">
        <v>0</v>
      </c>
      <c r="I13" s="22"/>
      <c r="J13" s="4">
        <f>SUM(D13:H13)</f>
        <v>13715</v>
      </c>
    </row>
    <row r="14" spans="1:10" ht="12.75">
      <c r="A14" s="2" t="s">
        <v>71</v>
      </c>
      <c r="D14" s="4">
        <v>0</v>
      </c>
      <c r="E14" s="22"/>
      <c r="F14" s="4">
        <v>0</v>
      </c>
      <c r="G14" s="22"/>
      <c r="H14" s="4">
        <f>'[2]PL'!G36</f>
        <v>-77248.37454583758</v>
      </c>
      <c r="I14" s="22"/>
      <c r="J14" s="4">
        <f>SUM(D14:H14)</f>
        <v>-77248.37454583758</v>
      </c>
    </row>
    <row r="15" spans="1:10" ht="13.5" thickBot="1">
      <c r="A15" s="2" t="s">
        <v>72</v>
      </c>
      <c r="D15" s="23">
        <f>SUM(D12:D14)</f>
        <v>392683</v>
      </c>
      <c r="E15" s="22"/>
      <c r="F15" s="23">
        <f>SUM(F12:F14)</f>
        <v>241490</v>
      </c>
      <c r="G15" s="22"/>
      <c r="H15" s="23">
        <f>SUM(H12:H14)</f>
        <v>-943702.3745458375</v>
      </c>
      <c r="I15" s="22"/>
      <c r="J15" s="23">
        <f>SUM(J12:J14)</f>
        <v>-309529.3745458376</v>
      </c>
    </row>
    <row r="19" spans="1:11" ht="25.5" customHeight="1">
      <c r="A19" s="75" t="s">
        <v>73</v>
      </c>
      <c r="B19" s="76"/>
      <c r="C19" s="76"/>
      <c r="D19" s="76"/>
      <c r="E19" s="76"/>
      <c r="F19" s="76"/>
      <c r="G19" s="76"/>
      <c r="H19" s="76"/>
      <c r="I19" s="76"/>
      <c r="J19" s="76"/>
      <c r="K19" s="25"/>
    </row>
    <row r="22" ht="12.75">
      <c r="A22" s="26" t="s">
        <v>74</v>
      </c>
    </row>
    <row r="24" spans="1:2" ht="12.75">
      <c r="A24" s="3" t="s">
        <v>75</v>
      </c>
      <c r="B24" s="3" t="s">
        <v>76</v>
      </c>
    </row>
    <row r="25" spans="2:10" ht="38.25" customHeight="1">
      <c r="B25" s="72" t="s">
        <v>245</v>
      </c>
      <c r="C25" s="73"/>
      <c r="D25" s="73"/>
      <c r="E25" s="73"/>
      <c r="F25" s="73"/>
      <c r="G25" s="73"/>
      <c r="H25" s="73"/>
      <c r="I25" s="73"/>
      <c r="J25" s="73"/>
    </row>
    <row r="27" spans="2:10" ht="38.25" customHeight="1">
      <c r="B27" s="72" t="s">
        <v>232</v>
      </c>
      <c r="C27" s="73"/>
      <c r="D27" s="73"/>
      <c r="E27" s="73"/>
      <c r="F27" s="73"/>
      <c r="G27" s="73"/>
      <c r="H27" s="73"/>
      <c r="I27" s="73"/>
      <c r="J27" s="73"/>
    </row>
    <row r="29" spans="2:10" ht="51" customHeight="1">
      <c r="B29" s="77" t="s">
        <v>233</v>
      </c>
      <c r="C29" s="78"/>
      <c r="D29" s="78"/>
      <c r="E29" s="78"/>
      <c r="F29" s="78"/>
      <c r="G29" s="78"/>
      <c r="H29" s="78"/>
      <c r="I29" s="78"/>
      <c r="J29" s="78"/>
    </row>
    <row r="32" spans="1:2" ht="12.75">
      <c r="A32" s="3" t="s">
        <v>77</v>
      </c>
      <c r="B32" s="3" t="s">
        <v>78</v>
      </c>
    </row>
    <row r="33" spans="2:10" ht="25.5" customHeight="1">
      <c r="B33" s="64" t="s">
        <v>79</v>
      </c>
      <c r="C33" s="68"/>
      <c r="D33" s="68"/>
      <c r="E33" s="68"/>
      <c r="F33" s="68"/>
      <c r="G33" s="68"/>
      <c r="H33" s="68"/>
      <c r="I33" s="68"/>
      <c r="J33" s="68"/>
    </row>
    <row r="36" spans="1:2" ht="12.75">
      <c r="A36" s="3" t="s">
        <v>80</v>
      </c>
      <c r="B36" s="3" t="s">
        <v>81</v>
      </c>
    </row>
    <row r="37" ht="12.75">
      <c r="B37" s="2" t="s">
        <v>82</v>
      </c>
    </row>
    <row r="40" spans="1:10" ht="25.5" customHeight="1">
      <c r="A40" s="27" t="s">
        <v>83</v>
      </c>
      <c r="B40" s="74" t="s">
        <v>84</v>
      </c>
      <c r="C40" s="73"/>
      <c r="D40" s="73"/>
      <c r="E40" s="73"/>
      <c r="F40" s="73"/>
      <c r="G40" s="73"/>
      <c r="H40" s="73"/>
      <c r="I40" s="73"/>
      <c r="J40" s="73"/>
    </row>
    <row r="41" spans="1:10" ht="25.5" customHeight="1">
      <c r="A41" s="28"/>
      <c r="B41" s="72" t="s">
        <v>85</v>
      </c>
      <c r="C41" s="73"/>
      <c r="D41" s="73"/>
      <c r="E41" s="73"/>
      <c r="F41" s="73"/>
      <c r="G41" s="73"/>
      <c r="H41" s="73"/>
      <c r="I41" s="73"/>
      <c r="J41" s="73"/>
    </row>
    <row r="42" spans="1:10" ht="12.75">
      <c r="A42" s="28"/>
      <c r="B42" s="28"/>
      <c r="C42" s="28"/>
      <c r="D42" s="28"/>
      <c r="E42" s="29"/>
      <c r="F42" s="28"/>
      <c r="G42" s="29"/>
      <c r="H42" s="28"/>
      <c r="I42" s="29"/>
      <c r="J42" s="28"/>
    </row>
    <row r="43" spans="1:10" ht="12.75">
      <c r="A43" s="28"/>
      <c r="B43" s="28"/>
      <c r="C43" s="28"/>
      <c r="D43" s="28"/>
      <c r="E43" s="29"/>
      <c r="F43" s="28"/>
      <c r="G43" s="29"/>
      <c r="H43" s="28"/>
      <c r="I43" s="29"/>
      <c r="J43" s="28"/>
    </row>
    <row r="44" spans="1:10" ht="40.5" customHeight="1">
      <c r="A44" s="27" t="s">
        <v>86</v>
      </c>
      <c r="B44" s="74" t="s">
        <v>87</v>
      </c>
      <c r="C44" s="73"/>
      <c r="D44" s="73"/>
      <c r="E44" s="73"/>
      <c r="F44" s="73"/>
      <c r="G44" s="73"/>
      <c r="H44" s="73"/>
      <c r="I44" s="73"/>
      <c r="J44" s="73"/>
    </row>
    <row r="45" spans="2:10" ht="12.75">
      <c r="B45" s="64" t="s">
        <v>88</v>
      </c>
      <c r="C45" s="68"/>
      <c r="D45" s="68"/>
      <c r="E45" s="68"/>
      <c r="F45" s="68"/>
      <c r="G45" s="68"/>
      <c r="H45" s="68"/>
      <c r="I45" s="68"/>
      <c r="J45" s="68"/>
    </row>
    <row r="48" spans="1:2" ht="12.75">
      <c r="A48" s="3" t="s">
        <v>89</v>
      </c>
      <c r="B48" s="3" t="s">
        <v>90</v>
      </c>
    </row>
    <row r="49" spans="2:10" ht="25.5" customHeight="1">
      <c r="B49" s="72" t="s">
        <v>91</v>
      </c>
      <c r="C49" s="73"/>
      <c r="D49" s="73"/>
      <c r="E49" s="73"/>
      <c r="F49" s="73"/>
      <c r="G49" s="73"/>
      <c r="H49" s="73"/>
      <c r="I49" s="73"/>
      <c r="J49" s="73"/>
    </row>
    <row r="51" ht="12.75">
      <c r="D51" s="30" t="s">
        <v>61</v>
      </c>
    </row>
    <row r="52" spans="1:2" ht="12.75">
      <c r="A52" s="3" t="s">
        <v>92</v>
      </c>
      <c r="B52" s="3" t="s">
        <v>93</v>
      </c>
    </row>
    <row r="53" ht="12.75">
      <c r="B53" s="2" t="s">
        <v>94</v>
      </c>
    </row>
    <row r="56" spans="1:2" ht="12.75">
      <c r="A56" s="3" t="s">
        <v>95</v>
      </c>
      <c r="B56" s="31" t="s">
        <v>96</v>
      </c>
    </row>
    <row r="57" ht="12.75">
      <c r="B57" s="2" t="s">
        <v>97</v>
      </c>
    </row>
    <row r="59" spans="4:10" ht="12.75">
      <c r="D59" s="32"/>
      <c r="F59" s="32"/>
      <c r="H59" s="1"/>
      <c r="J59" s="1" t="s">
        <v>98</v>
      </c>
    </row>
    <row r="60" spans="4:10" ht="12.75">
      <c r="D60" s="33"/>
      <c r="E60" s="34"/>
      <c r="F60" s="35" t="s">
        <v>49</v>
      </c>
      <c r="G60" s="34"/>
      <c r="H60" s="35"/>
      <c r="J60" s="1" t="s">
        <v>99</v>
      </c>
    </row>
    <row r="61" spans="4:10" ht="12.75">
      <c r="D61" s="1" t="s">
        <v>100</v>
      </c>
      <c r="F61" s="1" t="s">
        <v>101</v>
      </c>
      <c r="H61" s="1" t="s">
        <v>48</v>
      </c>
      <c r="J61" s="1" t="s">
        <v>102</v>
      </c>
    </row>
    <row r="62" spans="4:10" ht="12.75">
      <c r="D62" s="1" t="s">
        <v>7</v>
      </c>
      <c r="F62" s="1" t="s">
        <v>7</v>
      </c>
      <c r="H62" s="1" t="s">
        <v>7</v>
      </c>
      <c r="J62" s="1" t="s">
        <v>7</v>
      </c>
    </row>
    <row r="64" ht="12.75">
      <c r="B64" s="36" t="s">
        <v>103</v>
      </c>
    </row>
    <row r="66" spans="2:10" ht="12.75">
      <c r="B66" s="2" t="s">
        <v>104</v>
      </c>
      <c r="D66" s="4">
        <f>'[2]EXCO-R'!I14</f>
        <v>6505.268</v>
      </c>
      <c r="E66" s="22"/>
      <c r="F66" s="4">
        <v>0</v>
      </c>
      <c r="G66" s="22"/>
      <c r="H66" s="4">
        <f>SUM(D66:F66)</f>
        <v>6505.268</v>
      </c>
      <c r="I66" s="22"/>
      <c r="J66" s="4">
        <f>'[2]EXCO-PBT'!I12</f>
        <v>-1667.3580000000004</v>
      </c>
    </row>
    <row r="67" spans="2:10" ht="12.75">
      <c r="B67" s="2" t="s">
        <v>105</v>
      </c>
      <c r="D67" s="4">
        <f>'[2]EXCO-R'!I26</f>
        <v>44430.022</v>
      </c>
      <c r="E67" s="22"/>
      <c r="F67" s="4">
        <v>0</v>
      </c>
      <c r="G67" s="22"/>
      <c r="H67" s="4">
        <f>SUM(D67:F67)</f>
        <v>44430.022</v>
      </c>
      <c r="I67" s="22"/>
      <c r="J67" s="4">
        <f>'[2]EXCO-PBT'!I24</f>
        <v>12250</v>
      </c>
    </row>
    <row r="68" spans="2:10" ht="12.75">
      <c r="B68" s="2" t="s">
        <v>106</v>
      </c>
      <c r="D68" s="4">
        <f>'[2]EXCO-R'!I31</f>
        <v>174586.29441624365</v>
      </c>
      <c r="E68" s="22"/>
      <c r="F68" s="4">
        <v>0</v>
      </c>
      <c r="G68" s="22"/>
      <c r="H68" s="4">
        <f>SUM(D68:F68)</f>
        <v>174586.29441624365</v>
      </c>
      <c r="I68" s="22"/>
      <c r="J68" s="6">
        <f>'[2]EXCO-PBT'!I28</f>
        <v>-34084</v>
      </c>
    </row>
    <row r="69" spans="2:10" ht="12.75">
      <c r="B69" s="2" t="s">
        <v>107</v>
      </c>
      <c r="D69" s="4">
        <f>'[2]EXCO-R'!I35</f>
        <v>46666.621</v>
      </c>
      <c r="E69" s="22"/>
      <c r="F69" s="4">
        <v>0</v>
      </c>
      <c r="G69" s="22"/>
      <c r="H69" s="4">
        <f>SUM(D69:F69)</f>
        <v>46666.621</v>
      </c>
      <c r="I69" s="22"/>
      <c r="J69" s="6">
        <f>'[2]EXCO-PBT'!I31</f>
        <v>-28688</v>
      </c>
    </row>
    <row r="70" spans="2:10" ht="12.75">
      <c r="B70" s="2" t="s">
        <v>108</v>
      </c>
      <c r="D70" s="37">
        <f>'[2]EXCO-R'!I41</f>
        <v>4473.209817258883</v>
      </c>
      <c r="E70" s="22"/>
      <c r="F70" s="10">
        <f>-'[2]EXCO-R'!I61</f>
        <v>23.249</v>
      </c>
      <c r="G70" s="22"/>
      <c r="H70" s="37">
        <f>SUM(D70:F70)</f>
        <v>4496.458817258883</v>
      </c>
      <c r="I70" s="22"/>
      <c r="J70" s="37">
        <f>'[2]EXCO-PBT'!I37-1</f>
        <v>-43351.383</v>
      </c>
    </row>
    <row r="71" spans="4:10" ht="12.75">
      <c r="D71" s="5">
        <f>SUM(D66:D70)</f>
        <v>276661.4152335025</v>
      </c>
      <c r="E71" s="22"/>
      <c r="F71" s="5">
        <f>SUM(F66:F70)</f>
        <v>23.249</v>
      </c>
      <c r="G71" s="22"/>
      <c r="H71" s="4">
        <f>SUM(H66:H70)-1</f>
        <v>276683.6642335025</v>
      </c>
      <c r="I71" s="22"/>
      <c r="J71" s="6">
        <f>SUM(J66:J70)+1</f>
        <v>-95539.74100000001</v>
      </c>
    </row>
    <row r="72" spans="4:10" ht="12.75">
      <c r="D72" s="4"/>
      <c r="E72" s="22"/>
      <c r="F72" s="4"/>
      <c r="G72" s="22"/>
      <c r="H72" s="4"/>
      <c r="I72" s="22"/>
      <c r="J72" s="4"/>
    </row>
    <row r="73" spans="2:10" ht="12.75">
      <c r="B73" s="2" t="s">
        <v>109</v>
      </c>
      <c r="D73" s="4"/>
      <c r="E73" s="22"/>
      <c r="F73" s="4"/>
      <c r="G73" s="22"/>
      <c r="H73" s="4">
        <f>-F71</f>
        <v>-23.249</v>
      </c>
      <c r="I73" s="22"/>
      <c r="J73" s="4">
        <v>0</v>
      </c>
    </row>
    <row r="74" spans="4:10" ht="12.75">
      <c r="D74" s="4"/>
      <c r="E74" s="22"/>
      <c r="F74" s="4"/>
      <c r="G74" s="22"/>
      <c r="H74" s="10"/>
      <c r="I74" s="22"/>
      <c r="J74" s="10"/>
    </row>
    <row r="75" spans="4:10" ht="13.5" thickBot="1">
      <c r="D75" s="4"/>
      <c r="E75" s="22"/>
      <c r="F75" s="4"/>
      <c r="G75" s="22"/>
      <c r="H75" s="38">
        <f>SUM(H71:H74)+1</f>
        <v>276661.4152335025</v>
      </c>
      <c r="I75" s="22"/>
      <c r="J75" s="23">
        <f>SUM(J71:J74)</f>
        <v>-95539.74100000001</v>
      </c>
    </row>
    <row r="78" spans="1:2" ht="12.75">
      <c r="A78" s="3" t="s">
        <v>110</v>
      </c>
      <c r="B78" s="3" t="s">
        <v>111</v>
      </c>
    </row>
    <row r="79" spans="2:10" ht="26.25" customHeight="1">
      <c r="B79" s="72" t="s">
        <v>112</v>
      </c>
      <c r="C79" s="73"/>
      <c r="D79" s="73"/>
      <c r="E79" s="73"/>
      <c r="F79" s="73"/>
      <c r="G79" s="73"/>
      <c r="H79" s="73"/>
      <c r="I79" s="73"/>
      <c r="J79" s="73"/>
    </row>
    <row r="82" spans="1:2" ht="12.75">
      <c r="A82" s="3" t="s">
        <v>113</v>
      </c>
      <c r="B82" s="3" t="s">
        <v>246</v>
      </c>
    </row>
    <row r="83" spans="2:10" ht="90" customHeight="1">
      <c r="B83" s="72" t="s">
        <v>252</v>
      </c>
      <c r="C83" s="73"/>
      <c r="D83" s="73"/>
      <c r="E83" s="73"/>
      <c r="F83" s="73"/>
      <c r="G83" s="73"/>
      <c r="H83" s="73"/>
      <c r="I83" s="73"/>
      <c r="J83" s="73"/>
    </row>
    <row r="86" spans="1:2" ht="12.75">
      <c r="A86" s="3" t="s">
        <v>114</v>
      </c>
      <c r="B86" s="3" t="s">
        <v>115</v>
      </c>
    </row>
    <row r="87" ht="12.75">
      <c r="B87" s="2" t="s">
        <v>116</v>
      </c>
    </row>
    <row r="90" spans="1:2" ht="12.75">
      <c r="A90" s="3" t="s">
        <v>117</v>
      </c>
      <c r="B90" s="3" t="s">
        <v>118</v>
      </c>
    </row>
    <row r="91" ht="12.75">
      <c r="B91" s="2" t="s">
        <v>119</v>
      </c>
    </row>
    <row r="93" ht="12.75">
      <c r="D93" s="1" t="s">
        <v>7</v>
      </c>
    </row>
    <row r="95" spans="2:4" ht="12.75">
      <c r="B95" s="2" t="s">
        <v>120</v>
      </c>
      <c r="D95" s="4">
        <f>'[1]Mc - CL1'!$P$23</f>
        <v>7180.424686915518</v>
      </c>
    </row>
    <row r="96" spans="2:4" ht="12.75">
      <c r="B96" s="2" t="s">
        <v>228</v>
      </c>
      <c r="D96" s="4">
        <f>('[1]Mc - CL1'!$P$32)</f>
        <v>-11.410999999999774</v>
      </c>
    </row>
    <row r="97" spans="2:4" ht="12.75">
      <c r="B97" s="2" t="s">
        <v>121</v>
      </c>
      <c r="D97" s="10">
        <f>'[1]Mc - CL1'!$P$35</f>
        <v>5796</v>
      </c>
    </row>
    <row r="98" ht="13.5" thickBot="1">
      <c r="D98" s="39">
        <f>SUM(D95:D97)</f>
        <v>12965.013686915518</v>
      </c>
    </row>
    <row r="99" ht="12.75">
      <c r="D99" s="22"/>
    </row>
    <row r="100" ht="12.75">
      <c r="D100" s="30" t="s">
        <v>61</v>
      </c>
    </row>
    <row r="101" spans="1:2" ht="12.75">
      <c r="A101" s="3" t="s">
        <v>122</v>
      </c>
      <c r="B101" s="3" t="s">
        <v>123</v>
      </c>
    </row>
    <row r="102" ht="12.75">
      <c r="B102" s="2" t="s">
        <v>124</v>
      </c>
    </row>
    <row r="104" ht="12.75">
      <c r="D104" s="1" t="s">
        <v>7</v>
      </c>
    </row>
    <row r="106" ht="12.75">
      <c r="B106" s="2" t="s">
        <v>125</v>
      </c>
    </row>
    <row r="107" spans="2:4" ht="12.75">
      <c r="B107" s="2" t="s">
        <v>126</v>
      </c>
      <c r="D107" s="4">
        <f>'[3]Mycom - Note'!$X$596/1000</f>
        <v>200177.085</v>
      </c>
    </row>
    <row r="108" spans="2:4" ht="12.75">
      <c r="B108" s="2" t="s">
        <v>127</v>
      </c>
      <c r="D108" s="4">
        <f>'[3]Mycom - Note'!$X$597/1000</f>
        <v>0</v>
      </c>
    </row>
    <row r="109" ht="12.75">
      <c r="D109" s="4"/>
    </row>
    <row r="110" spans="2:4" ht="12.75">
      <c r="B110" s="2" t="s">
        <v>128</v>
      </c>
      <c r="D110" s="4"/>
    </row>
    <row r="111" spans="2:4" ht="12.75">
      <c r="B111" s="2" t="s">
        <v>127</v>
      </c>
      <c r="D111" s="4">
        <f>'[3]Mycom - Note'!$X$600/1000</f>
        <v>0</v>
      </c>
    </row>
    <row r="112" ht="12.75">
      <c r="D112" s="10"/>
    </row>
    <row r="113" ht="13.5" thickBot="1">
      <c r="D113" s="40">
        <f>SUM(D107:D112)</f>
        <v>200177.085</v>
      </c>
    </row>
    <row r="116" spans="1:2" ht="12.75">
      <c r="A116" s="3" t="s">
        <v>129</v>
      </c>
      <c r="B116" s="31" t="s">
        <v>130</v>
      </c>
    </row>
    <row r="117" spans="2:10" ht="38.25" customHeight="1">
      <c r="B117" s="70" t="s">
        <v>264</v>
      </c>
      <c r="C117" s="71"/>
      <c r="D117" s="71"/>
      <c r="E117" s="71"/>
      <c r="F117" s="71"/>
      <c r="G117" s="71"/>
      <c r="H117" s="71"/>
      <c r="I117" s="71"/>
      <c r="J117" s="71"/>
    </row>
    <row r="120" spans="1:2" ht="12.75">
      <c r="A120" s="3" t="s">
        <v>131</v>
      </c>
      <c r="B120" s="31" t="s">
        <v>132</v>
      </c>
    </row>
    <row r="121" spans="1:10" ht="27" customHeight="1">
      <c r="A121" s="41"/>
      <c r="B121" s="59" t="s">
        <v>257</v>
      </c>
      <c r="C121" s="66"/>
      <c r="D121" s="66"/>
      <c r="E121" s="66"/>
      <c r="F121" s="66"/>
      <c r="G121" s="66"/>
      <c r="H121" s="66"/>
      <c r="I121" s="66"/>
      <c r="J121" s="66"/>
    </row>
    <row r="122" spans="1:10" ht="12.75">
      <c r="A122" s="41"/>
      <c r="C122" s="42"/>
      <c r="D122" s="43"/>
      <c r="E122" s="43"/>
      <c r="F122" s="43" t="s">
        <v>61</v>
      </c>
      <c r="G122" s="43"/>
      <c r="H122" s="43"/>
      <c r="I122" s="43"/>
      <c r="J122" s="43"/>
    </row>
    <row r="124" spans="1:2" ht="12.75">
      <c r="A124" s="3" t="s">
        <v>133</v>
      </c>
      <c r="B124" s="3" t="s">
        <v>134</v>
      </c>
    </row>
    <row r="125" spans="2:10" ht="24.75" customHeight="1">
      <c r="B125" s="64" t="s">
        <v>258</v>
      </c>
      <c r="C125" s="68"/>
      <c r="D125" s="68"/>
      <c r="E125" s="68"/>
      <c r="F125" s="68"/>
      <c r="G125" s="68"/>
      <c r="H125" s="68"/>
      <c r="I125" s="68"/>
      <c r="J125" s="68"/>
    </row>
    <row r="128" spans="1:2" ht="12.75">
      <c r="A128" s="3" t="s">
        <v>135</v>
      </c>
      <c r="B128" s="3" t="s">
        <v>136</v>
      </c>
    </row>
    <row r="129" ht="12.75">
      <c r="B129" s="2" t="s">
        <v>137</v>
      </c>
    </row>
    <row r="132" spans="1:2" ht="12.75">
      <c r="A132" s="3" t="s">
        <v>138</v>
      </c>
      <c r="B132" s="3" t="s">
        <v>25</v>
      </c>
    </row>
    <row r="133" spans="3:10" ht="12.75">
      <c r="C133"/>
      <c r="F133" s="1" t="s">
        <v>139</v>
      </c>
      <c r="J133" s="1"/>
    </row>
    <row r="134" spans="4:10" ht="12.75">
      <c r="D134" s="1" t="s">
        <v>139</v>
      </c>
      <c r="F134" s="1" t="s">
        <v>140</v>
      </c>
      <c r="J134" s="1"/>
    </row>
    <row r="135" spans="4:10" ht="12.75">
      <c r="D135" s="1" t="s">
        <v>43</v>
      </c>
      <c r="F135" s="1" t="s">
        <v>141</v>
      </c>
      <c r="J135" s="1"/>
    </row>
    <row r="136" spans="4:10" ht="12.75">
      <c r="D136" s="13" t="s">
        <v>46</v>
      </c>
      <c r="F136" s="13" t="s">
        <v>46</v>
      </c>
      <c r="J136" s="13"/>
    </row>
    <row r="137" spans="4:10" ht="12.75">
      <c r="D137" s="1" t="s">
        <v>7</v>
      </c>
      <c r="F137" s="1" t="s">
        <v>7</v>
      </c>
      <c r="J137" s="21"/>
    </row>
    <row r="138" ht="12.75">
      <c r="J138" s="20"/>
    </row>
    <row r="139" spans="2:10" ht="12.75">
      <c r="B139" s="2" t="s">
        <v>142</v>
      </c>
      <c r="D139" s="6">
        <f>F139-649</f>
        <v>3214.484</v>
      </c>
      <c r="F139" s="4">
        <f>'[3]Mycom - Note'!$X$160/1000+1</f>
        <v>3863.484</v>
      </c>
      <c r="J139" s="22"/>
    </row>
    <row r="140" spans="2:10" ht="12.75">
      <c r="B140" s="2" t="s">
        <v>236</v>
      </c>
      <c r="D140" s="10">
        <f>F140-0</f>
        <v>849.344</v>
      </c>
      <c r="F140" s="10">
        <f>'[3]Mycom - Note'!$X$167/1000</f>
        <v>849.344</v>
      </c>
      <c r="J140" s="22"/>
    </row>
    <row r="141" spans="4:10" ht="12.75">
      <c r="D141" s="4">
        <f>SUM(D139:D140)-1</f>
        <v>4062.828</v>
      </c>
      <c r="F141" s="4">
        <f>SUM(F139:F140)-1</f>
        <v>4711.8279999999995</v>
      </c>
      <c r="J141" s="22"/>
    </row>
    <row r="142" spans="2:10" ht="12.75">
      <c r="B142" s="2" t="s">
        <v>143</v>
      </c>
      <c r="D142" s="10">
        <f>F142-94</f>
        <v>1508.02</v>
      </c>
      <c r="F142" s="10">
        <f>'[3]Mycom - Note'!$X$172/1000</f>
        <v>1602.02</v>
      </c>
      <c r="J142" s="22"/>
    </row>
    <row r="143" spans="4:10" ht="13.5" thickBot="1">
      <c r="D143" s="23">
        <f>SUM(D141:D142)</f>
        <v>5570.848</v>
      </c>
      <c r="F143" s="23">
        <f>SUM(F141:F142)</f>
        <v>6313.848</v>
      </c>
      <c r="J143" s="22"/>
    </row>
    <row r="145" spans="2:10" ht="39" customHeight="1">
      <c r="B145" s="64" t="s">
        <v>237</v>
      </c>
      <c r="C145" s="68"/>
      <c r="D145" s="68"/>
      <c r="E145" s="68"/>
      <c r="F145" s="68"/>
      <c r="G145" s="68"/>
      <c r="H145" s="68"/>
      <c r="I145" s="68"/>
      <c r="J145" s="68"/>
    </row>
    <row r="148" spans="1:9" ht="12.75">
      <c r="A148" s="3" t="s">
        <v>144</v>
      </c>
      <c r="B148" s="3" t="s">
        <v>145</v>
      </c>
      <c r="D148" s="20"/>
      <c r="E148" s="2"/>
      <c r="F148" s="20"/>
      <c r="G148" s="2"/>
      <c r="H148" s="20"/>
      <c r="I148" s="2"/>
    </row>
    <row r="149" spans="2:10" ht="25.5" customHeight="1">
      <c r="B149" s="64" t="s">
        <v>146</v>
      </c>
      <c r="C149" s="68"/>
      <c r="D149" s="68"/>
      <c r="E149" s="68"/>
      <c r="F149" s="68"/>
      <c r="G149" s="68"/>
      <c r="H149" s="68"/>
      <c r="I149" s="68"/>
      <c r="J149" s="68"/>
    </row>
    <row r="150" ht="12.75">
      <c r="D150" s="30" t="s">
        <v>61</v>
      </c>
    </row>
    <row r="152" spans="1:2" ht="12.75">
      <c r="A152" s="3" t="s">
        <v>147</v>
      </c>
      <c r="B152" s="3" t="s">
        <v>148</v>
      </c>
    </row>
    <row r="153" ht="12.75">
      <c r="B153" s="2" t="s">
        <v>149</v>
      </c>
    </row>
    <row r="155" ht="12.75">
      <c r="F155" s="1" t="s">
        <v>139</v>
      </c>
    </row>
    <row r="156" spans="4:6" ht="12.75">
      <c r="D156" s="1" t="s">
        <v>40</v>
      </c>
      <c r="F156" s="1" t="s">
        <v>140</v>
      </c>
    </row>
    <row r="157" spans="4:6" ht="12.75">
      <c r="D157" s="1" t="s">
        <v>43</v>
      </c>
      <c r="F157" s="1" t="s">
        <v>141</v>
      </c>
    </row>
    <row r="158" spans="4:6" ht="12.75">
      <c r="D158" s="13" t="s">
        <v>46</v>
      </c>
      <c r="F158" s="13" t="s">
        <v>46</v>
      </c>
    </row>
    <row r="159" spans="4:6" ht="12.75">
      <c r="D159" s="1" t="s">
        <v>7</v>
      </c>
      <c r="F159" s="1" t="s">
        <v>7</v>
      </c>
    </row>
    <row r="161" spans="2:3" ht="12.75">
      <c r="B161" s="1" t="s">
        <v>150</v>
      </c>
      <c r="C161" s="2" t="s">
        <v>151</v>
      </c>
    </row>
    <row r="162" spans="3:6" ht="12.75">
      <c r="C162" s="44" t="s">
        <v>152</v>
      </c>
      <c r="D162" s="4">
        <v>0</v>
      </c>
      <c r="F162" s="4">
        <v>0</v>
      </c>
    </row>
    <row r="163" spans="3:6" ht="12.75">
      <c r="C163" s="44" t="s">
        <v>153</v>
      </c>
      <c r="D163" s="4">
        <v>0</v>
      </c>
      <c r="F163" s="4">
        <v>0</v>
      </c>
    </row>
    <row r="164" spans="3:6" ht="12.75">
      <c r="C164" s="44" t="s">
        <v>154</v>
      </c>
      <c r="D164" s="4">
        <v>0</v>
      </c>
      <c r="F164" s="4">
        <v>0</v>
      </c>
    </row>
    <row r="166" spans="2:3" ht="12.75">
      <c r="B166" s="1" t="s">
        <v>155</v>
      </c>
      <c r="C166" s="2" t="s">
        <v>156</v>
      </c>
    </row>
    <row r="167" spans="3:6" ht="12.75">
      <c r="C167" s="44" t="s">
        <v>157</v>
      </c>
      <c r="D167" s="4">
        <v>0</v>
      </c>
      <c r="F167" s="4">
        <v>0</v>
      </c>
    </row>
    <row r="168" spans="3:6" ht="12.75">
      <c r="C168" s="44" t="s">
        <v>158</v>
      </c>
      <c r="D168" s="4"/>
      <c r="F168" s="4"/>
    </row>
    <row r="169" spans="3:6" ht="12.75">
      <c r="C169" s="44" t="s">
        <v>159</v>
      </c>
      <c r="D169" s="4"/>
      <c r="F169" s="4"/>
    </row>
    <row r="170" spans="3:6" ht="12.75">
      <c r="C170" s="44" t="s">
        <v>160</v>
      </c>
      <c r="D170" s="4">
        <v>0</v>
      </c>
      <c r="F170" s="4">
        <v>0</v>
      </c>
    </row>
    <row r="171" spans="3:6" ht="12.75">
      <c r="C171" s="44" t="s">
        <v>161</v>
      </c>
      <c r="D171" s="4"/>
      <c r="F171" s="4"/>
    </row>
    <row r="172" spans="3:6" ht="12.75">
      <c r="C172" s="44" t="s">
        <v>162</v>
      </c>
      <c r="D172" s="4">
        <v>0</v>
      </c>
      <c r="F172" s="4">
        <v>0</v>
      </c>
    </row>
    <row r="175" spans="1:3" ht="12.75">
      <c r="A175" s="3" t="s">
        <v>163</v>
      </c>
      <c r="B175" s="1" t="s">
        <v>150</v>
      </c>
      <c r="C175" s="3" t="s">
        <v>164</v>
      </c>
    </row>
    <row r="176" spans="1:3" ht="12.75">
      <c r="A176" s="3"/>
      <c r="B176" s="32" t="s">
        <v>247</v>
      </c>
      <c r="C176" s="2" t="s">
        <v>248</v>
      </c>
    </row>
    <row r="177" spans="3:10" ht="108" customHeight="1">
      <c r="C177" s="59" t="s">
        <v>253</v>
      </c>
      <c r="D177" s="59"/>
      <c r="E177" s="59"/>
      <c r="F177" s="59"/>
      <c r="G177" s="59"/>
      <c r="H177" s="59"/>
      <c r="I177" s="59"/>
      <c r="J177" s="59"/>
    </row>
    <row r="178" spans="3:10" ht="55.5" customHeight="1">
      <c r="C178" s="59" t="s">
        <v>251</v>
      </c>
      <c r="D178" s="59"/>
      <c r="E178" s="59"/>
      <c r="F178" s="59"/>
      <c r="G178" s="59"/>
      <c r="H178" s="59"/>
      <c r="I178" s="59"/>
      <c r="J178" s="59"/>
    </row>
    <row r="179" spans="3:10" ht="12.75">
      <c r="C179" s="58"/>
      <c r="D179" s="58"/>
      <c r="E179" s="58"/>
      <c r="F179" s="58"/>
      <c r="G179" s="58"/>
      <c r="H179" s="58"/>
      <c r="I179" s="58"/>
      <c r="J179" s="58"/>
    </row>
    <row r="180" spans="2:10" ht="12.75">
      <c r="B180" s="32" t="s">
        <v>249</v>
      </c>
      <c r="C180" s="58" t="s">
        <v>250</v>
      </c>
      <c r="D180" s="58"/>
      <c r="E180" s="58"/>
      <c r="F180" s="58"/>
      <c r="G180" s="58"/>
      <c r="H180" s="58"/>
      <c r="I180" s="58"/>
      <c r="J180" s="58"/>
    </row>
    <row r="181" spans="2:10" ht="91.5" customHeight="1">
      <c r="B181" s="32"/>
      <c r="C181" s="59" t="s">
        <v>266</v>
      </c>
      <c r="D181" s="59"/>
      <c r="E181" s="59"/>
      <c r="F181" s="59"/>
      <c r="G181" s="59"/>
      <c r="H181" s="59"/>
      <c r="I181" s="59"/>
      <c r="J181" s="59"/>
    </row>
    <row r="182" spans="3:10" ht="13.5" customHeight="1">
      <c r="C182" s="11"/>
      <c r="D182" s="11"/>
      <c r="E182" s="11"/>
      <c r="F182" s="11"/>
      <c r="G182" s="11"/>
      <c r="H182" s="11"/>
      <c r="I182" s="11"/>
      <c r="J182" s="11"/>
    </row>
    <row r="183" spans="5:9" ht="12.75">
      <c r="E183" s="2"/>
      <c r="G183" s="2"/>
      <c r="I183" s="2"/>
    </row>
    <row r="185" spans="2:3" ht="12.75">
      <c r="B185" s="3" t="s">
        <v>155</v>
      </c>
      <c r="C185" s="3" t="s">
        <v>165</v>
      </c>
    </row>
    <row r="186" ht="12.75">
      <c r="C186" s="2" t="s">
        <v>137</v>
      </c>
    </row>
    <row r="189" spans="1:2" ht="12.75">
      <c r="A189" s="3" t="s">
        <v>166</v>
      </c>
      <c r="B189" s="3" t="s">
        <v>167</v>
      </c>
    </row>
    <row r="190" ht="12.75">
      <c r="B190" s="2" t="s">
        <v>168</v>
      </c>
    </row>
    <row r="192" ht="12.75">
      <c r="D192" s="1" t="s">
        <v>169</v>
      </c>
    </row>
    <row r="193" ht="12.75">
      <c r="D193" s="13" t="s">
        <v>46</v>
      </c>
    </row>
    <row r="194" ht="12.75">
      <c r="D194" s="1" t="s">
        <v>7</v>
      </c>
    </row>
    <row r="195" ht="12.75">
      <c r="B195" s="3"/>
    </row>
    <row r="196" spans="3:4" ht="12.75">
      <c r="C196" s="2" t="s">
        <v>170</v>
      </c>
      <c r="D196" s="4">
        <f>-('[1]Mc - BS'!$Y$68+'[1]Mc - BS'!$Y$69+'[1]Mc - BS'!$Y$70+'[1]Mc - BS'!$Y$71+'[1]Mc - BS'!$Y$72+'[1]Mc - BS'!$Y$73)/1000</f>
        <v>610678.2683959391</v>
      </c>
    </row>
    <row r="197" spans="3:4" ht="12.75">
      <c r="C197" s="2" t="s">
        <v>171</v>
      </c>
      <c r="D197" s="10">
        <f>-('[1]Mc - BS'!$Y$75+'[1]Mc - BS'!$Y$76+'[1]Mc - BS'!$Y$77)/1000</f>
        <v>34500.676</v>
      </c>
    </row>
    <row r="198" ht="13.5" thickBot="1">
      <c r="D198" s="23">
        <f>SUM(D196:D197)</f>
        <v>645178.9443959391</v>
      </c>
    </row>
    <row r="199" ht="12.75">
      <c r="D199" s="22"/>
    </row>
    <row r="200" ht="12.75">
      <c r="B200" s="2" t="s">
        <v>254</v>
      </c>
    </row>
    <row r="201" spans="2:10" ht="25.5" customHeight="1">
      <c r="B201" s="59" t="s">
        <v>255</v>
      </c>
      <c r="C201" s="66"/>
      <c r="D201" s="66"/>
      <c r="E201" s="66"/>
      <c r="F201" s="66"/>
      <c r="G201" s="66"/>
      <c r="H201" s="66"/>
      <c r="I201" s="66"/>
      <c r="J201" s="66"/>
    </row>
    <row r="204" spans="1:2" ht="12.75">
      <c r="A204" s="3" t="s">
        <v>172</v>
      </c>
      <c r="B204" s="3" t="s">
        <v>173</v>
      </c>
    </row>
    <row r="205" ht="12.75">
      <c r="B205" s="2" t="s">
        <v>174</v>
      </c>
    </row>
    <row r="208" spans="1:10" ht="26.25" customHeight="1">
      <c r="A208" s="45" t="s">
        <v>175</v>
      </c>
      <c r="B208" s="67" t="s">
        <v>176</v>
      </c>
      <c r="C208" s="68"/>
      <c r="D208" s="68"/>
      <c r="E208" s="68"/>
      <c r="F208" s="68"/>
      <c r="G208" s="68"/>
      <c r="H208" s="68"/>
      <c r="I208" s="68"/>
      <c r="J208" s="68"/>
    </row>
    <row r="209" spans="2:9" ht="12.75">
      <c r="B209" s="2" t="s">
        <v>177</v>
      </c>
      <c r="D209" s="20"/>
      <c r="E209" s="2"/>
      <c r="F209" s="20"/>
      <c r="G209" s="2"/>
      <c r="H209" s="20"/>
      <c r="I209" s="2"/>
    </row>
    <row r="211" ht="12.75">
      <c r="D211" s="30" t="s">
        <v>61</v>
      </c>
    </row>
    <row r="212" spans="1:2" ht="12.75">
      <c r="A212" s="45" t="s">
        <v>178</v>
      </c>
      <c r="B212" s="3" t="s">
        <v>179</v>
      </c>
    </row>
    <row r="213" ht="12.75">
      <c r="B213" s="2" t="s">
        <v>180</v>
      </c>
    </row>
    <row r="216" spans="1:2" ht="12.75">
      <c r="A216" s="45" t="s">
        <v>181</v>
      </c>
      <c r="B216" s="3" t="s">
        <v>57</v>
      </c>
    </row>
    <row r="217" spans="4:10" ht="12.75">
      <c r="D217" s="63" t="s">
        <v>182</v>
      </c>
      <c r="E217" s="69"/>
      <c r="F217" s="69"/>
      <c r="H217" s="63" t="s">
        <v>183</v>
      </c>
      <c r="I217" s="63"/>
      <c r="J217" s="63"/>
    </row>
    <row r="218" spans="4:10" ht="12.75">
      <c r="D218" s="13" t="s">
        <v>46</v>
      </c>
      <c r="F218" s="13" t="s">
        <v>47</v>
      </c>
      <c r="H218" s="13" t="s">
        <v>46</v>
      </c>
      <c r="J218" s="13" t="s">
        <v>47</v>
      </c>
    </row>
    <row r="219" spans="4:10" ht="12.75">
      <c r="D219" s="1"/>
      <c r="F219" s="1"/>
      <c r="H219" s="1"/>
      <c r="J219" s="1"/>
    </row>
    <row r="220" spans="2:3" ht="12.75">
      <c r="B220" s="32" t="s">
        <v>150</v>
      </c>
      <c r="C220" s="2" t="s">
        <v>184</v>
      </c>
    </row>
    <row r="222" spans="3:10" ht="12.75">
      <c r="C222" s="46" t="s">
        <v>185</v>
      </c>
      <c r="D222" s="14">
        <f>'[2]PL'!C36</f>
        <v>-31269.374545837578</v>
      </c>
      <c r="F222" s="14">
        <f>'[2]PL'!E36</f>
        <v>-49911</v>
      </c>
      <c r="G222" s="47"/>
      <c r="H222" s="14">
        <f>'[2]PL'!G36</f>
        <v>-77248.37454583758</v>
      </c>
      <c r="J222" s="14">
        <f>'[2]PL'!I36</f>
        <v>-92097</v>
      </c>
    </row>
    <row r="223" spans="3:10" ht="12.75">
      <c r="C223" s="24" t="s">
        <v>186</v>
      </c>
      <c r="D223" s="14"/>
      <c r="F223" s="14"/>
      <c r="G223" s="47"/>
      <c r="H223" s="14"/>
      <c r="J223" s="14"/>
    </row>
    <row r="224" spans="3:10" ht="12.75">
      <c r="C224" s="44" t="s">
        <v>187</v>
      </c>
      <c r="D224" s="14">
        <f>'[2]BS'!C43</f>
        <v>392683.0752639594</v>
      </c>
      <c r="F224" s="14">
        <v>392683</v>
      </c>
      <c r="G224" s="47"/>
      <c r="H224" s="14">
        <f>'[2]BS'!C43</f>
        <v>392683.0752639594</v>
      </c>
      <c r="J224" s="14">
        <v>392683</v>
      </c>
    </row>
    <row r="225" spans="3:10" ht="12.75">
      <c r="C225" s="24" t="s">
        <v>188</v>
      </c>
      <c r="D225" s="14"/>
      <c r="F225" s="14"/>
      <c r="G225" s="47"/>
      <c r="H225" s="14"/>
      <c r="J225" s="14"/>
    </row>
    <row r="226" spans="3:10" ht="12.75">
      <c r="C226" s="48" t="s">
        <v>189</v>
      </c>
      <c r="D226" s="14">
        <v>0</v>
      </c>
      <c r="F226" s="14">
        <v>0</v>
      </c>
      <c r="G226" s="47"/>
      <c r="H226" s="14">
        <v>0</v>
      </c>
      <c r="J226" s="14">
        <v>0</v>
      </c>
    </row>
    <row r="227" spans="3:10" ht="12.75">
      <c r="C227" s="24" t="s">
        <v>190</v>
      </c>
      <c r="D227" s="49">
        <f>(D222/D224)*100</f>
        <v>-7.963005414689308</v>
      </c>
      <c r="F227" s="49">
        <f>(F222/F224)*100</f>
        <v>-12.7102522900151</v>
      </c>
      <c r="G227" s="47"/>
      <c r="H227" s="49">
        <f>(H222/H224)*100</f>
        <v>-19.671938876894973</v>
      </c>
      <c r="J227" s="49">
        <f>(J222/J224)*100</f>
        <v>-23.453268921751132</v>
      </c>
    </row>
    <row r="229" spans="2:10" ht="12.75">
      <c r="B229" s="2" t="s">
        <v>155</v>
      </c>
      <c r="C229" s="2" t="s">
        <v>191</v>
      </c>
      <c r="D229" s="18" t="s">
        <v>60</v>
      </c>
      <c r="F229" s="18" t="s">
        <v>60</v>
      </c>
      <c r="H229" s="18" t="s">
        <v>60</v>
      </c>
      <c r="J229" s="18" t="s">
        <v>60</v>
      </c>
    </row>
    <row r="233" ht="12.75">
      <c r="C233" s="24"/>
    </row>
    <row r="235" ht="12.75">
      <c r="A235" s="2" t="s">
        <v>265</v>
      </c>
    </row>
    <row r="236" ht="12.75">
      <c r="A236" s="3" t="s">
        <v>0</v>
      </c>
    </row>
    <row r="239" ht="12.75">
      <c r="A239" s="2" t="s">
        <v>192</v>
      </c>
    </row>
    <row r="240" ht="12.75">
      <c r="A240" s="2" t="s">
        <v>193</v>
      </c>
    </row>
    <row r="242" ht="12.75">
      <c r="A242" s="2" t="s">
        <v>194</v>
      </c>
    </row>
    <row r="243" spans="1:4" ht="12.75">
      <c r="A243" s="2" t="s">
        <v>261</v>
      </c>
      <c r="D243" s="30" t="s">
        <v>61</v>
      </c>
    </row>
  </sheetData>
  <mergeCells count="24">
    <mergeCell ref="A19:J19"/>
    <mergeCell ref="B25:J25"/>
    <mergeCell ref="B27:J27"/>
    <mergeCell ref="B29:J29"/>
    <mergeCell ref="B33:J33"/>
    <mergeCell ref="B40:J40"/>
    <mergeCell ref="B41:J41"/>
    <mergeCell ref="B44:J44"/>
    <mergeCell ref="B45:J45"/>
    <mergeCell ref="B49:J49"/>
    <mergeCell ref="B79:J79"/>
    <mergeCell ref="B83:J83"/>
    <mergeCell ref="B117:J117"/>
    <mergeCell ref="B121:J121"/>
    <mergeCell ref="B125:J125"/>
    <mergeCell ref="B145:J145"/>
    <mergeCell ref="B149:J149"/>
    <mergeCell ref="C177:J177"/>
    <mergeCell ref="C181:J181"/>
    <mergeCell ref="C178:J178"/>
    <mergeCell ref="B201:J201"/>
    <mergeCell ref="B208:J208"/>
    <mergeCell ref="D217:F217"/>
    <mergeCell ref="H217:J217"/>
  </mergeCells>
  <printOptions/>
  <pageMargins left="1" right="0.75" top="1" bottom="1" header="0.5" footer="0.5"/>
  <pageSetup horizontalDpi="600" verticalDpi="600" orientation="portrait" scale="80" r:id="rId1"/>
  <rowBreaks count="3" manualBreakCount="3">
    <brk id="100" max="255" man="1"/>
    <brk id="151" max="255" man="1"/>
    <brk id="18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OLYMPIA INDUSTRIES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dc:creator>
  <cp:keywords/>
  <dc:description/>
  <cp:lastModifiedBy>Mycom Berhad</cp:lastModifiedBy>
  <cp:lastPrinted>2003-08-29T07:02:24Z</cp:lastPrinted>
  <dcterms:created xsi:type="dcterms:W3CDTF">2003-08-22T06:45:16Z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